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高年齢者に係る施策について\"/>
    </mc:Choice>
  </mc:AlternateContent>
  <xr:revisionPtr revIDLastSave="0" documentId="8_{7580FDA7-8CAC-44EC-8987-2DF58E40FCC1}" xr6:coauthVersionLast="47" xr6:coauthVersionMax="47" xr10:uidLastSave="{00000000-0000-0000-0000-000000000000}"/>
  <bookViews>
    <workbookView xWindow="-120" yWindow="-120" windowWidth="29040" windowHeight="15720" xr2:uid="{00000000-000D-0000-FFFF-FFFF00000000}"/>
  </bookViews>
  <sheets>
    <sheet name="高年齢雇用継続給付等算出シュミレーション表(H7.4.1施行)" sheetId="6" r:id="rId1"/>
    <sheet name="高年齢雇用継続給付等算出シュミレーション表(従前)" sheetId="5" r:id="rId2"/>
  </sheets>
  <definedNames>
    <definedName name="_xlnm.Print_Area" localSheetId="0">'高年齢雇用継続給付等算出シュミレーション表(H7.4.1施行)'!$A$1:$P$52</definedName>
    <definedName name="_xlnm.Print_Area" localSheetId="1">'高年齢雇用継続給付等算出シュミレーション表(従前)'!$A$1:$P$52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5" l="1"/>
  <c r="R9" i="5"/>
  <c r="I28" i="6"/>
  <c r="I27" i="6"/>
  <c r="I26" i="6"/>
  <c r="I25" i="6"/>
  <c r="R24" i="6"/>
  <c r="R25" i="6" s="1"/>
  <c r="R26" i="6" s="1"/>
  <c r="R27" i="6" s="1"/>
  <c r="R28" i="6" s="1"/>
  <c r="R29" i="6" s="1"/>
  <c r="R30" i="6" s="1"/>
  <c r="R31" i="6" s="1"/>
  <c r="R32" i="6" s="1"/>
  <c r="R33" i="6" s="1"/>
  <c r="R34" i="6" s="1"/>
  <c r="R35" i="6" s="1"/>
  <c r="R36" i="6" s="1"/>
  <c r="R37" i="6" s="1"/>
  <c r="R38" i="6" s="1"/>
  <c r="R39" i="6" s="1"/>
  <c r="R40" i="6" s="1"/>
  <c r="R41" i="6" s="1"/>
  <c r="R42" i="6" s="1"/>
  <c r="R43" i="6" s="1"/>
  <c r="R44" i="6" s="1"/>
  <c r="R45" i="6" s="1"/>
  <c r="R46" i="6" s="1"/>
  <c r="R47" i="6" s="1"/>
  <c r="R48" i="6" s="1"/>
  <c r="R49" i="6" s="1"/>
  <c r="R50" i="6" s="1"/>
  <c r="R51" i="6" s="1"/>
  <c r="R52" i="6" s="1"/>
  <c r="R53" i="6" s="1"/>
  <c r="Q24" i="6"/>
  <c r="Q25" i="6" s="1"/>
  <c r="Q26" i="6" s="1"/>
  <c r="Q27" i="6" s="1"/>
  <c r="Q28" i="6" s="1"/>
  <c r="Q29" i="6" s="1"/>
  <c r="Q30" i="6" s="1"/>
  <c r="Q31" i="6" s="1"/>
  <c r="Q32" i="6" s="1"/>
  <c r="Q33" i="6" s="1"/>
  <c r="Q34" i="6" s="1"/>
  <c r="Q35" i="6" s="1"/>
  <c r="Q36" i="6" s="1"/>
  <c r="Q37" i="6" s="1"/>
  <c r="Q38" i="6" s="1"/>
  <c r="Q39" i="6" s="1"/>
  <c r="Q40" i="6" s="1"/>
  <c r="Q41" i="6" s="1"/>
  <c r="Q42" i="6" s="1"/>
  <c r="Q43" i="6" s="1"/>
  <c r="Q44" i="6" s="1"/>
  <c r="Q45" i="6" s="1"/>
  <c r="Q46" i="6" s="1"/>
  <c r="Q47" i="6" s="1"/>
  <c r="Q48" i="6" s="1"/>
  <c r="Q49" i="6" s="1"/>
  <c r="Q50" i="6" s="1"/>
  <c r="Q51" i="6" s="1"/>
  <c r="Q52" i="6" s="1"/>
  <c r="Q53" i="6" s="1"/>
  <c r="I24" i="6"/>
  <c r="I29" i="6" s="1"/>
  <c r="B9" i="6" s="1"/>
  <c r="R23" i="6"/>
  <c r="Q23" i="6"/>
  <c r="I23" i="6"/>
  <c r="T9" i="6"/>
  <c r="R9" i="6"/>
  <c r="T7" i="6"/>
  <c r="R7" i="6"/>
  <c r="B7" i="6"/>
  <c r="E5" i="6"/>
  <c r="C4" i="6"/>
  <c r="E5" i="5"/>
  <c r="C7" i="6" l="1"/>
  <c r="D7" i="6" s="1"/>
  <c r="E7" i="6"/>
  <c r="I28" i="5"/>
  <c r="I27" i="5"/>
  <c r="I26" i="5"/>
  <c r="I25" i="5"/>
  <c r="I24" i="5"/>
  <c r="I23" i="5"/>
  <c r="I29" i="5" s="1"/>
  <c r="B9" i="5" s="1"/>
  <c r="C4" i="5"/>
  <c r="R23" i="5"/>
  <c r="R24" i="5" s="1"/>
  <c r="R25" i="5" s="1"/>
  <c r="R26" i="5" s="1"/>
  <c r="R27" i="5" s="1"/>
  <c r="R28" i="5" s="1"/>
  <c r="R29" i="5" s="1"/>
  <c r="R30" i="5" s="1"/>
  <c r="R31" i="5" s="1"/>
  <c r="R32" i="5" s="1"/>
  <c r="R33" i="5" s="1"/>
  <c r="R34" i="5" s="1"/>
  <c r="R35" i="5" s="1"/>
  <c r="R36" i="5" s="1"/>
  <c r="R37" i="5" s="1"/>
  <c r="R38" i="5" s="1"/>
  <c r="R39" i="5" s="1"/>
  <c r="R40" i="5" s="1"/>
  <c r="R41" i="5" s="1"/>
  <c r="R42" i="5" s="1"/>
  <c r="R43" i="5" s="1"/>
  <c r="R44" i="5" s="1"/>
  <c r="R45" i="5" s="1"/>
  <c r="R46" i="5" s="1"/>
  <c r="R47" i="5" s="1"/>
  <c r="R48" i="5" s="1"/>
  <c r="R49" i="5" s="1"/>
  <c r="R50" i="5" s="1"/>
  <c r="R51" i="5" s="1"/>
  <c r="R52" i="5" s="1"/>
  <c r="R53" i="5" s="1"/>
  <c r="Q23" i="5"/>
  <c r="Q24" i="5" s="1"/>
  <c r="Q25" i="5" s="1"/>
  <c r="Q26" i="5" s="1"/>
  <c r="Q27" i="5" s="1"/>
  <c r="Q28" i="5" s="1"/>
  <c r="Q29" i="5" s="1"/>
  <c r="Q30" i="5" s="1"/>
  <c r="Q31" i="5" s="1"/>
  <c r="Q32" i="5" s="1"/>
  <c r="Q33" i="5" s="1"/>
  <c r="Q34" i="5" s="1"/>
  <c r="Q35" i="5" s="1"/>
  <c r="Q36" i="5" s="1"/>
  <c r="Q37" i="5" s="1"/>
  <c r="Q38" i="5" s="1"/>
  <c r="Q39" i="5" s="1"/>
  <c r="Q40" i="5" s="1"/>
  <c r="Q41" i="5" s="1"/>
  <c r="Q42" i="5" s="1"/>
  <c r="Q43" i="5" s="1"/>
  <c r="Q44" i="5" s="1"/>
  <c r="Q45" i="5" s="1"/>
  <c r="Q46" i="5" s="1"/>
  <c r="Q47" i="5" s="1"/>
  <c r="Q48" i="5" s="1"/>
  <c r="Q49" i="5" s="1"/>
  <c r="Q50" i="5" s="1"/>
  <c r="Q51" i="5" s="1"/>
  <c r="Q52" i="5" s="1"/>
  <c r="Q53" i="5" s="1"/>
  <c r="T7" i="5"/>
  <c r="R7" i="5"/>
  <c r="H9" i="6" l="1"/>
  <c r="T8" i="6"/>
  <c r="R8" i="6"/>
  <c r="H7" i="6"/>
  <c r="H8" i="6"/>
  <c r="C7" i="5"/>
  <c r="D7" i="5" s="1"/>
  <c r="B7" i="5"/>
  <c r="K7" i="6" l="1"/>
  <c r="L7" i="6" s="1"/>
  <c r="O7" i="6" s="1"/>
  <c r="I7" i="6"/>
  <c r="L22" i="6" s="1"/>
  <c r="J7" i="6" s="1"/>
  <c r="M22" i="6" s="1"/>
  <c r="M7" i="6" s="1"/>
  <c r="K8" i="6"/>
  <c r="L8" i="6" s="1"/>
  <c r="O8" i="6" s="1"/>
  <c r="I8" i="6"/>
  <c r="L23" i="6" s="1"/>
  <c r="J8" i="6" s="1"/>
  <c r="M23" i="6" s="1"/>
  <c r="M8" i="6" s="1"/>
  <c r="I9" i="6"/>
  <c r="L24" i="6" s="1"/>
  <c r="J9" i="6" s="1"/>
  <c r="M24" i="6" s="1"/>
  <c r="M9" i="6" s="1"/>
  <c r="K9" i="6"/>
  <c r="L9" i="6" s="1"/>
  <c r="O9" i="6" s="1"/>
  <c r="E7" i="5"/>
  <c r="H9" i="5" l="1"/>
  <c r="H8" i="5"/>
  <c r="H7" i="5"/>
  <c r="T8" i="5"/>
  <c r="R8" i="5"/>
  <c r="P8" i="6"/>
  <c r="N8" i="6"/>
  <c r="P7" i="6"/>
  <c r="N7" i="6"/>
  <c r="P9" i="6"/>
  <c r="N9" i="6"/>
  <c r="I9" i="5" l="1"/>
  <c r="L24" i="5" s="1"/>
  <c r="J9" i="5" s="1"/>
  <c r="M24" i="5" s="1"/>
  <c r="M9" i="5" s="1"/>
  <c r="K9" i="5"/>
  <c r="L9" i="5" s="1"/>
  <c r="O9" i="5" s="1"/>
  <c r="I7" i="5"/>
  <c r="L22" i="5" s="1"/>
  <c r="J7" i="5" s="1"/>
  <c r="M22" i="5" s="1"/>
  <c r="M7" i="5" s="1"/>
  <c r="K7" i="5"/>
  <c r="L7" i="5" s="1"/>
  <c r="O7" i="5" s="1"/>
  <c r="K8" i="5"/>
  <c r="L8" i="5" s="1"/>
  <c r="O8" i="5" s="1"/>
  <c r="I8" i="5"/>
  <c r="L23" i="5" s="1"/>
  <c r="J8" i="5" s="1"/>
  <c r="M23" i="5" s="1"/>
  <c r="M8" i="5" s="1"/>
  <c r="N8" i="5" l="1"/>
  <c r="P8" i="5"/>
  <c r="N7" i="5"/>
  <c r="P7" i="5"/>
  <c r="N9" i="5"/>
  <c r="P9" i="5"/>
</calcChain>
</file>

<file path=xl/sharedStrings.xml><?xml version="1.0" encoding="utf-8"?>
<sst xmlns="http://schemas.openxmlformats.org/spreadsheetml/2006/main" count="128" uniqueCount="66">
  <si>
    <t>支給率</t>
    <rPh sb="0" eb="2">
      <t>シキュウ</t>
    </rPh>
    <rPh sb="2" eb="3">
      <t>リツ</t>
    </rPh>
    <phoneticPr fontId="2"/>
  </si>
  <si>
    <t>年金停止率</t>
    <rPh sb="0" eb="2">
      <t>ネンキン</t>
    </rPh>
    <rPh sb="2" eb="4">
      <t>テイシ</t>
    </rPh>
    <rPh sb="4" eb="5">
      <t>リツ</t>
    </rPh>
    <phoneticPr fontId="2"/>
  </si>
  <si>
    <t>＊１</t>
    <phoneticPr fontId="2"/>
  </si>
  <si>
    <t>＊３</t>
    <phoneticPr fontId="2"/>
  </si>
  <si>
    <t>＊２</t>
    <phoneticPr fontId="2"/>
  </si>
  <si>
    <t>賃金低下率(%)の範囲</t>
    <rPh sb="0" eb="2">
      <t>チンギン</t>
    </rPh>
    <rPh sb="2" eb="4">
      <t>テイカ</t>
    </rPh>
    <rPh sb="4" eb="5">
      <t>リツ</t>
    </rPh>
    <rPh sb="9" eb="11">
      <t>ハンイ</t>
    </rPh>
    <phoneticPr fontId="2"/>
  </si>
  <si>
    <t>賃金</t>
    <rPh sb="0" eb="2">
      <t>チンギン</t>
    </rPh>
    <phoneticPr fontId="2"/>
  </si>
  <si>
    <t>基本月額
(年金額×1/12)=①</t>
    <rPh sb="0" eb="2">
      <t>キホン</t>
    </rPh>
    <rPh sb="2" eb="4">
      <t>ゲツガク</t>
    </rPh>
    <rPh sb="6" eb="8">
      <t>ネンキン</t>
    </rPh>
    <rPh sb="8" eb="9">
      <t>ガク</t>
    </rPh>
    <phoneticPr fontId="2"/>
  </si>
  <si>
    <t>在職老齢年金制度の仕組みによる
支給停止額=②</t>
    <rPh sb="16" eb="18">
      <t>シキュウ</t>
    </rPh>
    <rPh sb="18" eb="20">
      <t>テイシ</t>
    </rPh>
    <rPh sb="20" eb="21">
      <t>ガク</t>
    </rPh>
    <phoneticPr fontId="2"/>
  </si>
  <si>
    <t>差引
基本月額
①-②=③</t>
    <rPh sb="0" eb="2">
      <t>サシヒキ</t>
    </rPh>
    <rPh sb="3" eb="7">
      <t>キホンゲツガク</t>
    </rPh>
    <phoneticPr fontId="2"/>
  </si>
  <si>
    <t>年金停止額
=④</t>
    <rPh sb="0" eb="2">
      <t>ネンキン</t>
    </rPh>
    <rPh sb="2" eb="4">
      <t>テイシ</t>
    </rPh>
    <rPh sb="4" eb="5">
      <t>ガク</t>
    </rPh>
    <phoneticPr fontId="2"/>
  </si>
  <si>
    <t>年金に係る
差引支給額
③-④=⑤</t>
    <rPh sb="0" eb="2">
      <t>ネンキン</t>
    </rPh>
    <rPh sb="3" eb="4">
      <t>カカ</t>
    </rPh>
    <rPh sb="6" eb="8">
      <t>サシヒキ</t>
    </rPh>
    <rPh sb="8" eb="10">
      <t>シキュウ</t>
    </rPh>
    <rPh sb="10" eb="11">
      <t>ガク</t>
    </rPh>
    <phoneticPr fontId="2"/>
  </si>
  <si>
    <t>合計
支給額
D+⑤</t>
    <rPh sb="0" eb="2">
      <t>ゴウケイ</t>
    </rPh>
    <rPh sb="3" eb="5">
      <t>シキュウ</t>
    </rPh>
    <rPh sb="5" eb="6">
      <t>ガク</t>
    </rPh>
    <phoneticPr fontId="2"/>
  </si>
  <si>
    <t>支給率
D/C</t>
    <rPh sb="0" eb="2">
      <t>シキュウ</t>
    </rPh>
    <rPh sb="2" eb="3">
      <t>リツ</t>
    </rPh>
    <phoneticPr fontId="2"/>
  </si>
  <si>
    <r>
      <t>支給額</t>
    </r>
    <r>
      <rPr>
        <b/>
        <sz val="11"/>
        <color rgb="FFFF0000"/>
        <rFont val="ＭＳ Ｐゴシック"/>
        <family val="3"/>
        <charset val="128"/>
        <scheme val="minor"/>
      </rPr>
      <t>*5</t>
    </r>
    <r>
      <rPr>
        <b/>
        <sz val="11"/>
        <color theme="1"/>
        <rFont val="ＭＳ Ｐゴシック"/>
        <family val="3"/>
        <charset val="128"/>
        <scheme val="minor"/>
      </rPr>
      <t xml:space="preserve">
A+B=D</t>
    </r>
    <rPh sb="0" eb="2">
      <t>シキュウ</t>
    </rPh>
    <rPh sb="2" eb="3">
      <t>ガク</t>
    </rPh>
    <phoneticPr fontId="2"/>
  </si>
  <si>
    <r>
      <t>支給額</t>
    </r>
    <r>
      <rPr>
        <b/>
        <sz val="11"/>
        <color rgb="FFFF0000"/>
        <rFont val="ＭＳ Ｐゴシック"/>
        <family val="3"/>
        <charset val="128"/>
        <scheme val="minor"/>
      </rPr>
      <t>*6</t>
    </r>
    <rPh sb="0" eb="2">
      <t>シキュウ</t>
    </rPh>
    <rPh sb="2" eb="3">
      <t>ガク</t>
    </rPh>
    <phoneticPr fontId="2"/>
  </si>
  <si>
    <t>＊４</t>
    <phoneticPr fontId="2"/>
  </si>
  <si>
    <t>＊５</t>
    <phoneticPr fontId="2"/>
  </si>
  <si>
    <t>＊６</t>
    <phoneticPr fontId="2"/>
  </si>
  <si>
    <t>75以上</t>
    <phoneticPr fontId="2"/>
  </si>
  <si>
    <t>61超
75未満</t>
    <phoneticPr fontId="2"/>
  </si>
  <si>
    <t>61以下</t>
    <phoneticPr fontId="2"/>
  </si>
  <si>
    <t>在職老齢年金制度の仕組みによる調整の対象となる月における標準報酬月額と当該月以前1年間の標準賞与額の総額を12で除して得た額を合算した額のこと</t>
    <rPh sb="15" eb="17">
      <t>チョウセイ</t>
    </rPh>
    <rPh sb="18" eb="20">
      <t>タイショウ</t>
    </rPh>
    <rPh sb="23" eb="24">
      <t>ゲツ</t>
    </rPh>
    <rPh sb="28" eb="34">
      <t>ヒョウジュンホウシュウゲツガク</t>
    </rPh>
    <rPh sb="35" eb="37">
      <t>トウガイ</t>
    </rPh>
    <rPh sb="37" eb="38">
      <t>ゲツ</t>
    </rPh>
    <rPh sb="38" eb="40">
      <t>イゼン</t>
    </rPh>
    <rPh sb="41" eb="42">
      <t>ネン</t>
    </rPh>
    <rPh sb="42" eb="43">
      <t>カン</t>
    </rPh>
    <rPh sb="44" eb="46">
      <t>ヒョウジュン</t>
    </rPh>
    <rPh sb="46" eb="48">
      <t>ショウヨ</t>
    </rPh>
    <rPh sb="48" eb="49">
      <t>ガク</t>
    </rPh>
    <rPh sb="50" eb="52">
      <t>ソウガク</t>
    </rPh>
    <rPh sb="56" eb="57">
      <t>ジョ</t>
    </rPh>
    <rPh sb="59" eb="60">
      <t>エ</t>
    </rPh>
    <rPh sb="61" eb="62">
      <t>ガク</t>
    </rPh>
    <rPh sb="63" eb="65">
      <t>ガッサン</t>
    </rPh>
    <rPh sb="67" eb="68">
      <t>ガク</t>
    </rPh>
    <phoneticPr fontId="2"/>
  </si>
  <si>
    <t>賃金低下率(%)
&lt;A/C&gt;</t>
    <rPh sb="0" eb="2">
      <t>チンギン</t>
    </rPh>
    <rPh sb="2" eb="4">
      <t>テイカ</t>
    </rPh>
    <rPh sb="4" eb="5">
      <t>リツ</t>
    </rPh>
    <phoneticPr fontId="2"/>
  </si>
  <si>
    <r>
      <t>総報酬月額相当額</t>
    </r>
    <r>
      <rPr>
        <b/>
        <sz val="10"/>
        <color rgb="FFFF0000"/>
        <rFont val="ＭＳ Ｐゴシック"/>
        <family val="3"/>
        <charset val="128"/>
        <scheme val="minor"/>
      </rPr>
      <t>＊３</t>
    </r>
    <phoneticPr fontId="2"/>
  </si>
  <si>
    <t>高年齢雇用継続給付等算出シュミレーション表</t>
    <rPh sb="7" eb="9">
      <t>キュウフ</t>
    </rPh>
    <rPh sb="9" eb="10">
      <t>コウトウ</t>
    </rPh>
    <rPh sb="10" eb="12">
      <t>サンシュツ</t>
    </rPh>
    <rPh sb="20" eb="21">
      <t>コヒョウ</t>
    </rPh>
    <phoneticPr fontId="2"/>
  </si>
  <si>
    <t>注1)</t>
    <rPh sb="0" eb="1">
      <t>チュウ</t>
    </rPh>
    <phoneticPr fontId="2"/>
  </si>
  <si>
    <t>注2)</t>
    <rPh sb="0" eb="1">
      <t>チュウ</t>
    </rPh>
    <phoneticPr fontId="2"/>
  </si>
  <si>
    <r>
      <t>60歳到達時等の賃金月額
&lt;(みなし)賃金日額</t>
    </r>
    <r>
      <rPr>
        <b/>
        <sz val="12"/>
        <color rgb="FFFF0000"/>
        <rFont val="ＭＳ Ｐゴシック"/>
        <family val="3"/>
        <charset val="128"/>
        <scheme val="minor"/>
      </rPr>
      <t>*1</t>
    </r>
    <r>
      <rPr>
        <b/>
        <sz val="12"/>
        <color theme="1"/>
        <rFont val="ＭＳ Ｐゴシック"/>
        <family val="3"/>
        <charset val="128"/>
        <scheme val="minor"/>
      </rPr>
      <t>×30&gt;
=C</t>
    </r>
    <r>
      <rPr>
        <b/>
        <sz val="12"/>
        <color rgb="FFFF0000"/>
        <rFont val="ＭＳ Ｐゴシック"/>
        <family val="3"/>
        <charset val="128"/>
        <scheme val="minor"/>
      </rPr>
      <t>*4</t>
    </r>
    <rPh sb="2" eb="3">
      <t>サイ</t>
    </rPh>
    <rPh sb="3" eb="5">
      <t>トウタツ</t>
    </rPh>
    <rPh sb="5" eb="6">
      <t>ジ</t>
    </rPh>
    <rPh sb="6" eb="7">
      <t>トウ</t>
    </rPh>
    <rPh sb="8" eb="10">
      <t>チンギン</t>
    </rPh>
    <rPh sb="10" eb="11">
      <t>ゲツ</t>
    </rPh>
    <rPh sb="11" eb="12">
      <t>ガク</t>
    </rPh>
    <rPh sb="19" eb="21">
      <t>チンギン</t>
    </rPh>
    <rPh sb="21" eb="23">
      <t>ニチガク</t>
    </rPh>
    <phoneticPr fontId="2"/>
  </si>
  <si>
    <t>高年齢雇用継続基本給付金の場合では原則として、60歳に達した日を離職した日とみなして、60歳に到達する前6か月間に支払われた賃金の総額を180 で除して算出されます。一方、高年齢再就職給付金の場合では、みなしではなく、実際の賃金日額を用いることになります。</t>
    <rPh sb="0" eb="3">
      <t>コウネンレイ</t>
    </rPh>
    <rPh sb="3" eb="5">
      <t>コヨウ</t>
    </rPh>
    <rPh sb="5" eb="7">
      <t>ケイゾク</t>
    </rPh>
    <rPh sb="7" eb="12">
      <t>キホンキュウフキン</t>
    </rPh>
    <rPh sb="13" eb="15">
      <t>バアイ</t>
    </rPh>
    <rPh sb="17" eb="19">
      <t>ゲンソク</t>
    </rPh>
    <rPh sb="25" eb="26">
      <t>サイ</t>
    </rPh>
    <rPh sb="27" eb="28">
      <t>タッ</t>
    </rPh>
    <rPh sb="30" eb="31">
      <t>ヒ</t>
    </rPh>
    <rPh sb="32" eb="34">
      <t>リショク</t>
    </rPh>
    <rPh sb="36" eb="37">
      <t>ヒ</t>
    </rPh>
    <rPh sb="54" eb="56">
      <t>ゲツカン</t>
    </rPh>
    <rPh sb="55" eb="56">
      <t>カン</t>
    </rPh>
    <rPh sb="77" eb="78">
      <t>シュツ</t>
    </rPh>
    <rPh sb="83" eb="85">
      <t>イッポウ</t>
    </rPh>
    <rPh sb="86" eb="95">
      <t>コウネンレイサイシュウショクキュウフキン</t>
    </rPh>
    <rPh sb="96" eb="98">
      <t>バアイ</t>
    </rPh>
    <rPh sb="109" eb="111">
      <t>ジッサイ</t>
    </rPh>
    <rPh sb="112" eb="114">
      <t>チンギン</t>
    </rPh>
    <rPh sb="114" eb="116">
      <t>ニチガク</t>
    </rPh>
    <rPh sb="117" eb="118">
      <t>モチ</t>
    </rPh>
    <phoneticPr fontId="2"/>
  </si>
  <si>
    <t>高年齢雇用継続給付
=B</t>
    <rPh sb="0" eb="3">
      <t>コウネンレイ</t>
    </rPh>
    <rPh sb="3" eb="5">
      <t>コヨウ</t>
    </rPh>
    <rPh sb="5" eb="7">
      <t>ケイゾク</t>
    </rPh>
    <rPh sb="7" eb="9">
      <t>キュウフ</t>
    </rPh>
    <phoneticPr fontId="2"/>
  </si>
  <si>
    <t>高年齢雇用継続給付
支給に伴い、
在職老齢年金制度の仕組み
による支給停止に加え、
さらなる年金支給停止</t>
    <rPh sb="10" eb="12">
      <t>シキュウ</t>
    </rPh>
    <rPh sb="13" eb="14">
      <t>トモナ</t>
    </rPh>
    <rPh sb="17" eb="19">
      <t>ザイショク</t>
    </rPh>
    <rPh sb="19" eb="21">
      <t>ロウレイ</t>
    </rPh>
    <rPh sb="21" eb="23">
      <t>ネンキン</t>
    </rPh>
    <rPh sb="23" eb="25">
      <t>セイド</t>
    </rPh>
    <rPh sb="26" eb="28">
      <t>シク</t>
    </rPh>
    <rPh sb="33" eb="35">
      <t>シキュウ</t>
    </rPh>
    <rPh sb="35" eb="37">
      <t>テイシ</t>
    </rPh>
    <rPh sb="38" eb="39">
      <t>クワ</t>
    </rPh>
    <rPh sb="46" eb="48">
      <t>ネンキン</t>
    </rPh>
    <rPh sb="48" eb="50">
      <t>シキュウ</t>
    </rPh>
    <rPh sb="50" eb="52">
      <t>テイシ</t>
    </rPh>
    <phoneticPr fontId="2"/>
  </si>
  <si>
    <t>支給停止調整額
(令和6年度)
(令和5年度は48万円)</t>
    <rPh sb="0" eb="2">
      <t>シキュウ</t>
    </rPh>
    <rPh sb="2" eb="4">
      <t>テイシ</t>
    </rPh>
    <rPh sb="4" eb="6">
      <t>チョウセイ</t>
    </rPh>
    <rPh sb="6" eb="7">
      <t>ガク</t>
    </rPh>
    <rPh sb="9" eb="11">
      <t>レイワ</t>
    </rPh>
    <rPh sb="12" eb="14">
      <t>ネンド</t>
    </rPh>
    <rPh sb="17" eb="19">
      <t>レイワ</t>
    </rPh>
    <rPh sb="20" eb="22">
      <t>ネンド</t>
    </rPh>
    <rPh sb="25" eb="27">
      <t>マンエン</t>
    </rPh>
    <phoneticPr fontId="2"/>
  </si>
  <si>
    <t>64超
75未満</t>
    <phoneticPr fontId="2"/>
  </si>
  <si>
    <t>64以下</t>
    <phoneticPr fontId="2"/>
  </si>
  <si>
    <t>支給停止調整額
(令和7年度)
(令和6年度は50万円)</t>
    <rPh sb="0" eb="2">
      <t>シキュウ</t>
    </rPh>
    <rPh sb="2" eb="4">
      <t>テイシ</t>
    </rPh>
    <rPh sb="4" eb="6">
      <t>チョウセイ</t>
    </rPh>
    <rPh sb="6" eb="7">
      <t>ガク</t>
    </rPh>
    <rPh sb="9" eb="11">
      <t>レイワ</t>
    </rPh>
    <rPh sb="12" eb="14">
      <t>ネンド</t>
    </rPh>
    <rPh sb="17" eb="19">
      <t>レイワ</t>
    </rPh>
    <rPh sb="20" eb="22">
      <t>ネンド</t>
    </rPh>
    <rPh sb="25" eb="27">
      <t>マンエン</t>
    </rPh>
    <phoneticPr fontId="2"/>
  </si>
  <si>
    <r>
      <t xml:space="preserve">年金額
</t>
    </r>
    <r>
      <rPr>
        <b/>
        <sz val="9"/>
        <color theme="1"/>
        <rFont val="ＭＳ Ｐゴシック"/>
        <family val="3"/>
        <charset val="128"/>
        <scheme val="minor"/>
      </rPr>
      <t>(加給年金額、経過的加算額及び繰下げ加算額を除く)</t>
    </r>
    <rPh sb="0" eb="2">
      <t>ネンキン</t>
    </rPh>
    <rPh sb="2" eb="3">
      <t>ガク</t>
    </rPh>
    <rPh sb="5" eb="9">
      <t>カキュウネンキン</t>
    </rPh>
    <rPh sb="9" eb="10">
      <t>ガク</t>
    </rPh>
    <rPh sb="11" eb="16">
      <t>ケイカテキカサン</t>
    </rPh>
    <rPh sb="16" eb="17">
      <t>ガク</t>
    </rPh>
    <rPh sb="17" eb="18">
      <t>オヨ</t>
    </rPh>
    <rPh sb="19" eb="21">
      <t>クリサ</t>
    </rPh>
    <rPh sb="22" eb="25">
      <t>カサンガク</t>
    </rPh>
    <rPh sb="26" eb="27">
      <t>ノゾ</t>
    </rPh>
    <phoneticPr fontId="2"/>
  </si>
  <si>
    <t>賞与等支給月/支給額</t>
    <rPh sb="0" eb="2">
      <t>ショウヨ</t>
    </rPh>
    <rPh sb="2" eb="3">
      <t>トウ</t>
    </rPh>
    <rPh sb="3" eb="5">
      <t>シキュウ</t>
    </rPh>
    <rPh sb="5" eb="6">
      <t>ゲツ</t>
    </rPh>
    <rPh sb="7" eb="9">
      <t>シキュウ</t>
    </rPh>
    <rPh sb="9" eb="10">
      <t>ガク</t>
    </rPh>
    <phoneticPr fontId="2"/>
  </si>
  <si>
    <t>A</t>
    <phoneticPr fontId="2"/>
  </si>
  <si>
    <t>総報酬月額相当額</t>
    <rPh sb="0" eb="3">
      <t>ソウホウシュウ</t>
    </rPh>
    <rPh sb="3" eb="5">
      <t>ゲツガク</t>
    </rPh>
    <rPh sb="5" eb="8">
      <t>ソウトウガク</t>
    </rPh>
    <phoneticPr fontId="2"/>
  </si>
  <si>
    <r>
      <rPr>
        <b/>
        <sz val="11"/>
        <color rgb="FFFF0000"/>
        <rFont val="ＭＳ Ｐゴシック"/>
        <family val="3"/>
        <charset val="128"/>
        <scheme val="minor"/>
      </rPr>
      <t>※1</t>
    </r>
    <r>
      <rPr>
        <b/>
        <sz val="11"/>
        <color theme="1"/>
        <rFont val="ＭＳ Ｐゴシック"/>
        <family val="3"/>
        <charset val="128"/>
        <scheme val="minor"/>
      </rPr>
      <t>　賞与等に関しては、調整対象月以前1年間に支給されたものが対象になります</t>
    </r>
    <rPh sb="3" eb="5">
      <t>ショウヨ</t>
    </rPh>
    <rPh sb="5" eb="6">
      <t>トウ</t>
    </rPh>
    <rPh sb="7" eb="8">
      <t>カン</t>
    </rPh>
    <rPh sb="12" eb="14">
      <t>チョウセイ</t>
    </rPh>
    <rPh sb="14" eb="16">
      <t>タイショウ</t>
    </rPh>
    <rPh sb="16" eb="17">
      <t>ゲツ</t>
    </rPh>
    <rPh sb="17" eb="19">
      <t>イゼン</t>
    </rPh>
    <rPh sb="20" eb="22">
      <t>ネンカン</t>
    </rPh>
    <rPh sb="23" eb="25">
      <t>シキュウ</t>
    </rPh>
    <rPh sb="31" eb="33">
      <t>タイショウ</t>
    </rPh>
    <phoneticPr fontId="2"/>
  </si>
  <si>
    <t>調整
対象額</t>
    <rPh sb="0" eb="2">
      <t>チョウセイ</t>
    </rPh>
    <rPh sb="3" eb="5">
      <t>タイショウ</t>
    </rPh>
    <rPh sb="5" eb="6">
      <t>ガク</t>
    </rPh>
    <phoneticPr fontId="2"/>
  </si>
  <si>
    <t>標準賞与額
の上限額
(1か月当たり)</t>
    <rPh sb="0" eb="2">
      <t>ヒョウジュン</t>
    </rPh>
    <rPh sb="2" eb="4">
      <t>ショウヨ</t>
    </rPh>
    <rPh sb="4" eb="5">
      <t>ガク</t>
    </rPh>
    <rPh sb="7" eb="10">
      <t>ジョウゲンガク</t>
    </rPh>
    <rPh sb="14" eb="15">
      <t>ゲツ</t>
    </rPh>
    <rPh sb="15" eb="16">
      <t>ア</t>
    </rPh>
    <phoneticPr fontId="2"/>
  </si>
  <si>
    <t>高年齢雇用継続給付等算出シュミレーション表(令和7年4月1日施行分)</t>
    <rPh sb="7" eb="9">
      <t>キュウフ</t>
    </rPh>
    <rPh sb="9" eb="10">
      <t>コウトウ</t>
    </rPh>
    <rPh sb="10" eb="12">
      <t>サンシュツ</t>
    </rPh>
    <rPh sb="20" eb="21">
      <t>コヒョウ</t>
    </rPh>
    <rPh sb="22" eb="24">
      <t>レイワ</t>
    </rPh>
    <rPh sb="25" eb="26">
      <t>ネン</t>
    </rPh>
    <rPh sb="27" eb="28">
      <t>ゲツ</t>
    </rPh>
    <rPh sb="29" eb="30">
      <t>ヒ</t>
    </rPh>
    <rPh sb="30" eb="32">
      <t>セコウ</t>
    </rPh>
    <rPh sb="32" eb="33">
      <t>ブン</t>
    </rPh>
    <phoneticPr fontId="2"/>
  </si>
  <si>
    <t>B</t>
    <phoneticPr fontId="2"/>
  </si>
  <si>
    <r>
      <t>調整対象月の標準報酬月額</t>
    </r>
    <r>
      <rPr>
        <b/>
        <sz val="10"/>
        <color rgb="FFFF0000"/>
        <rFont val="ＭＳ Ｐゴシック"/>
        <family val="3"/>
        <charset val="128"/>
        <scheme val="minor"/>
      </rPr>
      <t>※2</t>
    </r>
    <rPh sb="0" eb="2">
      <t>チョウセイ</t>
    </rPh>
    <rPh sb="2" eb="4">
      <t>タイショウ</t>
    </rPh>
    <rPh sb="4" eb="5">
      <t>ゲツ</t>
    </rPh>
    <rPh sb="6" eb="10">
      <t>ヒョウジュンホウシュウ</t>
    </rPh>
    <rPh sb="10" eb="12">
      <t>ゲツガク</t>
    </rPh>
    <phoneticPr fontId="2"/>
  </si>
  <si>
    <r>
      <t>➨A+(B/12</t>
    </r>
    <r>
      <rPr>
        <b/>
        <sz val="11"/>
        <color rgb="FFFF0000"/>
        <rFont val="ＭＳ Ｐゴシック"/>
        <family val="3"/>
        <charset val="128"/>
        <scheme val="minor"/>
      </rPr>
      <t>※3</t>
    </r>
    <r>
      <rPr>
        <b/>
        <sz val="11"/>
        <color theme="1"/>
        <rFont val="ＭＳ Ｐゴシック"/>
        <family val="3"/>
        <charset val="128"/>
        <scheme val="minor"/>
      </rPr>
      <t>)</t>
    </r>
    <phoneticPr fontId="2"/>
  </si>
  <si>
    <r>
      <t xml:space="preserve">支給対象月に
支払われた賃金
</t>
    </r>
    <r>
      <rPr>
        <b/>
        <sz val="11"/>
        <color rgb="FFFF0000"/>
        <rFont val="ＭＳ Ｐゴシック"/>
        <family val="3"/>
        <charset val="128"/>
        <scheme val="minor"/>
      </rPr>
      <t>＊２(要注意)</t>
    </r>
    <r>
      <rPr>
        <b/>
        <sz val="11"/>
        <color theme="1"/>
        <rFont val="ＭＳ Ｐゴシック"/>
        <family val="3"/>
        <charset val="128"/>
        <scheme val="minor"/>
      </rPr>
      <t xml:space="preserve">
=A</t>
    </r>
    <rPh sb="0" eb="2">
      <t>シキュウ</t>
    </rPh>
    <rPh sb="2" eb="4">
      <t>タイショウ</t>
    </rPh>
    <rPh sb="4" eb="5">
      <t>ゲツ</t>
    </rPh>
    <rPh sb="7" eb="9">
      <t>シハラ</t>
    </rPh>
    <rPh sb="12" eb="14">
      <t>チンギン</t>
    </rPh>
    <rPh sb="18" eb="21">
      <t>ヨウチュウイ</t>
    </rPh>
    <phoneticPr fontId="2"/>
  </si>
  <si>
    <t>総報酬月額相当額算出表</t>
    <rPh sb="0" eb="3">
      <t>ソウホウシュウ</t>
    </rPh>
    <rPh sb="3" eb="5">
      <t>ゲツガク</t>
    </rPh>
    <rPh sb="5" eb="8">
      <t>ソウトウガク</t>
    </rPh>
    <rPh sb="8" eb="10">
      <t>サンシュツ</t>
    </rPh>
    <rPh sb="10" eb="11">
      <t>ヒョウ</t>
    </rPh>
    <phoneticPr fontId="2"/>
  </si>
  <si>
    <t>支給対象月に
支払われた
賃金 A</t>
    <phoneticPr fontId="2"/>
  </si>
  <si>
    <t>高年齢雇用継続給付金の額
B</t>
    <rPh sb="0" eb="3">
      <t>コウネンレイ</t>
    </rPh>
    <rPh sb="3" eb="5">
      <t>コヨウ</t>
    </rPh>
    <rPh sb="5" eb="7">
      <t>ケイゾク</t>
    </rPh>
    <rPh sb="7" eb="9">
      <t>キュウフ</t>
    </rPh>
    <rPh sb="9" eb="10">
      <t>キン</t>
    </rPh>
    <rPh sb="11" eb="12">
      <t>ガク</t>
    </rPh>
    <phoneticPr fontId="2"/>
  </si>
  <si>
    <t>A+B=D</t>
    <phoneticPr fontId="2"/>
  </si>
  <si>
    <r>
      <rPr>
        <b/>
        <sz val="11"/>
        <color rgb="FFFF0000"/>
        <rFont val="ＭＳ Ｐゴシック"/>
        <family val="3"/>
        <charset val="128"/>
        <scheme val="minor"/>
      </rPr>
      <t>※3</t>
    </r>
    <r>
      <rPr>
        <b/>
        <sz val="11"/>
        <color theme="1"/>
        <rFont val="ＭＳ Ｐゴシック"/>
        <family val="3"/>
        <charset val="128"/>
        <scheme val="minor"/>
      </rPr>
      <t>　この部分は千円未満切捨</t>
    </r>
    <phoneticPr fontId="2"/>
  </si>
  <si>
    <r>
      <t>高年齢雇用継続給付が支給されることになる月に支払われる賃金(支給対象月に支払われた賃金)のこと。当該額が</t>
    </r>
    <r>
      <rPr>
        <b/>
        <u/>
        <sz val="11"/>
        <color rgb="FFFF0000"/>
        <rFont val="ＭＳ Ｐゴシック"/>
        <family val="3"/>
        <charset val="128"/>
        <scheme val="minor"/>
      </rPr>
      <t>376,750円(R6.8.1～R7.7.31までの額)</t>
    </r>
    <r>
      <rPr>
        <b/>
        <sz val="11"/>
        <color theme="1"/>
        <rFont val="ＭＳ Ｐゴシック"/>
        <family val="3"/>
        <charset val="128"/>
        <scheme val="minor"/>
      </rPr>
      <t>を超える場合には、当該給付金は支給されません。当該額を超える場合には、</t>
    </r>
    <r>
      <rPr>
        <b/>
        <sz val="11"/>
        <color rgb="FFFF0000"/>
        <rFont val="ＭＳ Ｐゴシック"/>
        <family val="3"/>
        <charset val="128"/>
        <scheme val="minor"/>
      </rPr>
      <t>「セルB7」には0と表示</t>
    </r>
    <r>
      <rPr>
        <b/>
        <sz val="11"/>
        <color theme="1"/>
        <rFont val="ＭＳ Ｐゴシック"/>
        <family val="3"/>
        <charset val="128"/>
        <scheme val="minor"/>
      </rPr>
      <t>されて、当該給付金が支給されないことを意味します。</t>
    </r>
    <rPh sb="10" eb="12">
      <t>シキュウ</t>
    </rPh>
    <rPh sb="20" eb="21">
      <t>ゲツ</t>
    </rPh>
    <rPh sb="22" eb="24">
      <t>シハラ</t>
    </rPh>
    <rPh sb="27" eb="29">
      <t>チンギン</t>
    </rPh>
    <rPh sb="30" eb="32">
      <t>シキュウ</t>
    </rPh>
    <rPh sb="32" eb="34">
      <t>タイショウ</t>
    </rPh>
    <rPh sb="34" eb="35">
      <t>ゲツ</t>
    </rPh>
    <rPh sb="36" eb="38">
      <t>シハラ</t>
    </rPh>
    <rPh sb="41" eb="43">
      <t>チンギン</t>
    </rPh>
    <rPh sb="48" eb="50">
      <t>トウガイ</t>
    </rPh>
    <rPh sb="50" eb="51">
      <t>ガク</t>
    </rPh>
    <rPh sb="59" eb="60">
      <t>エン</t>
    </rPh>
    <rPh sb="78" eb="79">
      <t>ガク</t>
    </rPh>
    <rPh sb="81" eb="82">
      <t>コ</t>
    </rPh>
    <rPh sb="84" eb="86">
      <t>バアイ</t>
    </rPh>
    <rPh sb="89" eb="91">
      <t>トウガイ</t>
    </rPh>
    <rPh sb="91" eb="93">
      <t>キュウフ</t>
    </rPh>
    <rPh sb="93" eb="94">
      <t>キン</t>
    </rPh>
    <rPh sb="95" eb="97">
      <t>シキュウ</t>
    </rPh>
    <rPh sb="103" eb="105">
      <t>トウガイ</t>
    </rPh>
    <rPh sb="105" eb="106">
      <t>ガク</t>
    </rPh>
    <rPh sb="107" eb="108">
      <t>コ</t>
    </rPh>
    <rPh sb="110" eb="112">
      <t>バアイ</t>
    </rPh>
    <rPh sb="125" eb="127">
      <t>ヒョウジ</t>
    </rPh>
    <rPh sb="131" eb="133">
      <t>トウガイ</t>
    </rPh>
    <rPh sb="133" eb="136">
      <t>キュウフキン</t>
    </rPh>
    <rPh sb="137" eb="139">
      <t>シキュウ</t>
    </rPh>
    <rPh sb="146" eb="148">
      <t>イミ</t>
    </rPh>
    <phoneticPr fontId="2"/>
  </si>
  <si>
    <r>
      <t>60歳到達時等賃金月額は、その算出した額が</t>
    </r>
    <r>
      <rPr>
        <b/>
        <u/>
        <sz val="11"/>
        <color rgb="FFFF0000"/>
        <rFont val="ＭＳ Ｐゴシック"/>
        <family val="3"/>
        <charset val="128"/>
        <scheme val="minor"/>
      </rPr>
      <t>494,700円(R6.8.1～R7.7.31までの額)</t>
    </r>
    <r>
      <rPr>
        <b/>
        <sz val="11"/>
        <color theme="1"/>
        <rFont val="ＭＳ Ｐゴシック"/>
        <family val="3"/>
        <charset val="128"/>
        <scheme val="minor"/>
      </rPr>
      <t>を超える場合は</t>
    </r>
    <r>
      <rPr>
        <b/>
        <u/>
        <sz val="11"/>
        <color rgb="FFFF0000"/>
        <rFont val="ＭＳ Ｐゴシック"/>
        <family val="3"/>
        <charset val="128"/>
        <scheme val="minor"/>
      </rPr>
      <t>494,700円(同)</t>
    </r>
    <r>
      <rPr>
        <b/>
        <sz val="11"/>
        <color theme="1"/>
        <rFont val="ＭＳ Ｐゴシック"/>
        <family val="3"/>
        <charset val="128"/>
        <scheme val="minor"/>
      </rPr>
      <t>になります。また、当該算出した額が</t>
    </r>
    <r>
      <rPr>
        <b/>
        <u/>
        <sz val="11"/>
        <color rgb="FFFF0000"/>
        <rFont val="ＭＳ Ｐゴシック"/>
        <family val="3"/>
        <charset val="128"/>
        <scheme val="minor"/>
      </rPr>
      <t>86,070円(同)</t>
    </r>
    <r>
      <rPr>
        <b/>
        <sz val="11"/>
        <color theme="1"/>
        <rFont val="ＭＳ Ｐゴシック"/>
        <family val="3"/>
        <charset val="128"/>
        <scheme val="minor"/>
      </rPr>
      <t>を下回る場合には、</t>
    </r>
    <r>
      <rPr>
        <b/>
        <u/>
        <sz val="11"/>
        <color rgb="FFFF0000"/>
        <rFont val="ＭＳ Ｐゴシック"/>
        <family val="3"/>
        <charset val="128"/>
        <scheme val="minor"/>
      </rPr>
      <t>86,070円(同)</t>
    </r>
    <r>
      <rPr>
        <b/>
        <sz val="11"/>
        <color theme="1"/>
        <rFont val="ＭＳ Ｐゴシック"/>
        <family val="3"/>
        <charset val="128"/>
        <scheme val="minor"/>
      </rPr>
      <t>になります。</t>
    </r>
    <r>
      <rPr>
        <b/>
        <sz val="11"/>
        <color rgb="FFFF0000"/>
        <rFont val="ＭＳ Ｐゴシック"/>
        <family val="3"/>
        <charset val="128"/>
        <scheme val="minor"/>
      </rPr>
      <t>「セルE4」に、仮に500,000円と入力しても、結果は「セルE5」に494,700円と表示</t>
    </r>
    <r>
      <rPr>
        <b/>
        <sz val="11"/>
        <color theme="1"/>
        <rFont val="ＭＳ Ｐゴシック"/>
        <family val="3"/>
        <charset val="128"/>
        <scheme val="minor"/>
      </rPr>
      <t>され、同じく</t>
    </r>
    <r>
      <rPr>
        <b/>
        <sz val="11"/>
        <color rgb="FFFF0000"/>
        <rFont val="ＭＳ Ｐゴシック"/>
        <family val="3"/>
        <charset val="128"/>
        <scheme val="minor"/>
      </rPr>
      <t>「セルE4」に、仮に86,000円と入力しても、結果は「セルE5」に８６,070円と表示されるように計算式を組み込んでいます。</t>
    </r>
    <rPh sb="2" eb="3">
      <t>サイ</t>
    </rPh>
    <rPh sb="3" eb="5">
      <t>トウタツ</t>
    </rPh>
    <rPh sb="5" eb="6">
      <t>ジ</t>
    </rPh>
    <rPh sb="6" eb="7">
      <t>トウ</t>
    </rPh>
    <rPh sb="7" eb="9">
      <t>チンギン</t>
    </rPh>
    <rPh sb="9" eb="11">
      <t>ゲツガク</t>
    </rPh>
    <rPh sb="19" eb="20">
      <t>ガク</t>
    </rPh>
    <rPh sb="28" eb="29">
      <t>エン</t>
    </rPh>
    <rPh sb="65" eb="66">
      <t>ドウ</t>
    </rPh>
    <rPh sb="78" eb="80">
      <t>サンシュツ</t>
    </rPh>
    <rPh sb="92" eb="93">
      <t>ドウ</t>
    </rPh>
    <rPh sb="111" eb="112">
      <t>ドウコバアイエントウガイサンテイガクエンシタマワバアイエン</t>
    </rPh>
    <rPh sb="127" eb="128">
      <t>カリ</t>
    </rPh>
    <rPh sb="136" eb="137">
      <t>エン</t>
    </rPh>
    <rPh sb="138" eb="140">
      <t>ニュウリョク</t>
    </rPh>
    <rPh sb="144" eb="146">
      <t>ケッカ</t>
    </rPh>
    <rPh sb="161" eb="162">
      <t>エン</t>
    </rPh>
    <rPh sb="163" eb="165">
      <t>ヒョウジ</t>
    </rPh>
    <rPh sb="168" eb="169">
      <t>オナ</t>
    </rPh>
    <rPh sb="179" eb="180">
      <t>カリ</t>
    </rPh>
    <rPh sb="187" eb="188">
      <t>エン</t>
    </rPh>
    <rPh sb="189" eb="191">
      <t>ニュウリョク</t>
    </rPh>
    <rPh sb="195" eb="197">
      <t>ケッカ</t>
    </rPh>
    <rPh sb="211" eb="212">
      <t>エン</t>
    </rPh>
    <rPh sb="213" eb="215">
      <t>ヒョウジ</t>
    </rPh>
    <rPh sb="221" eb="224">
      <t>ケイサンシキ</t>
    </rPh>
    <rPh sb="225" eb="226">
      <t>ク</t>
    </rPh>
    <rPh sb="227" eb="228">
      <t>コ</t>
    </rPh>
    <phoneticPr fontId="2"/>
  </si>
  <si>
    <r>
      <t>支給対象月に支払われた賃金の額と当該算出された給付金の額との合計額が</t>
    </r>
    <r>
      <rPr>
        <b/>
        <u/>
        <sz val="11"/>
        <color rgb="FFFF0000"/>
        <rFont val="ＭＳ Ｐゴシック"/>
        <family val="3"/>
        <charset val="128"/>
        <scheme val="minor"/>
      </rPr>
      <t>376,750円(R6.8.1～R7.7.31までの額)</t>
    </r>
    <r>
      <rPr>
        <b/>
        <sz val="11"/>
        <color theme="1"/>
        <rFont val="ＭＳ Ｐゴシック"/>
        <family val="3"/>
        <charset val="128"/>
        <scheme val="minor"/>
      </rPr>
      <t>を超える場合は、</t>
    </r>
    <r>
      <rPr>
        <b/>
        <u/>
        <sz val="11"/>
        <color rgb="FFFF0000"/>
        <rFont val="ＭＳ Ｐゴシック"/>
        <family val="3"/>
        <charset val="128"/>
        <scheme val="minor"/>
      </rPr>
      <t>376,750円（同）</t>
    </r>
    <r>
      <rPr>
        <b/>
        <sz val="11"/>
        <color theme="1"/>
        <rFont val="ＭＳ Ｐゴシック"/>
        <family val="3"/>
        <charset val="128"/>
        <scheme val="minor"/>
      </rPr>
      <t>から支給対象月に支払われた賃金の額を控除した額が当該給付金の額になります。従って、</t>
    </r>
    <r>
      <rPr>
        <b/>
        <sz val="11"/>
        <color rgb="FFFF0000"/>
        <rFont val="ＭＳ Ｐゴシック"/>
        <family val="3"/>
        <charset val="128"/>
        <scheme val="minor"/>
      </rPr>
      <t>「セルM7」から「セルM9」には、上限額が376,750円となるよう計算式を組み込んでいます</t>
    </r>
    <r>
      <rPr>
        <b/>
        <sz val="11"/>
        <color theme="1"/>
        <rFont val="ＭＳ Ｐゴシック"/>
        <family val="3"/>
        <charset val="128"/>
        <scheme val="minor"/>
      </rPr>
      <t>。</t>
    </r>
    <rPh sb="0" eb="2">
      <t>シキュウ</t>
    </rPh>
    <rPh sb="2" eb="4">
      <t>タイショウ</t>
    </rPh>
    <rPh sb="4" eb="5">
      <t>ゲツ</t>
    </rPh>
    <rPh sb="6" eb="8">
      <t>シハラ</t>
    </rPh>
    <rPh sb="11" eb="13">
      <t>チンギン</t>
    </rPh>
    <rPh sb="14" eb="15">
      <t>ガク</t>
    </rPh>
    <rPh sb="16" eb="18">
      <t>トウガイ</t>
    </rPh>
    <rPh sb="23" eb="25">
      <t>キュウフ</t>
    </rPh>
    <rPh sb="25" eb="26">
      <t>キン</t>
    </rPh>
    <rPh sb="27" eb="28">
      <t>ガク</t>
    </rPh>
    <rPh sb="30" eb="32">
      <t>ゴウケイ</t>
    </rPh>
    <rPh sb="32" eb="33">
      <t>ガク</t>
    </rPh>
    <rPh sb="41" eb="42">
      <t>エン</t>
    </rPh>
    <rPh sb="79" eb="80">
      <t>ドウ</t>
    </rPh>
    <rPh sb="106" eb="107">
      <t>コ</t>
    </rPh>
    <rPh sb="109" eb="111">
      <t>バアイエンシキュウタイショウゲツシハラチンギンガクコウジョガクトウガイキュウフキンガク</t>
    </rPh>
    <rPh sb="118" eb="119">
      <t>シタガ</t>
    </rPh>
    <rPh sb="139" eb="142">
      <t>ジョウゲンガク</t>
    </rPh>
    <rPh sb="150" eb="151">
      <t>エン</t>
    </rPh>
    <rPh sb="156" eb="159">
      <t>ケイサンシキ</t>
    </rPh>
    <rPh sb="160" eb="161">
      <t>ク</t>
    </rPh>
    <rPh sb="162" eb="163">
      <t>コ</t>
    </rPh>
    <phoneticPr fontId="2"/>
  </si>
  <si>
    <r>
      <t>当該算出した給付金の額が</t>
    </r>
    <r>
      <rPr>
        <b/>
        <u/>
        <sz val="10"/>
        <color rgb="FFFF0000"/>
        <rFont val="ＭＳ Ｐゴシック"/>
        <family val="3"/>
        <charset val="128"/>
        <scheme val="minor"/>
      </rPr>
      <t>2,295円(R6.8.1～R7.7.31までの額)</t>
    </r>
    <r>
      <rPr>
        <b/>
        <sz val="10"/>
        <color theme="1"/>
        <rFont val="ＭＳ Ｐゴシック"/>
        <family val="3"/>
        <charset val="128"/>
        <scheme val="minor"/>
      </rPr>
      <t>を超えない場合は、当該給付金そのものが支給されません。</t>
    </r>
    <r>
      <rPr>
        <b/>
        <sz val="10"/>
        <color rgb="FFFF0000"/>
        <rFont val="ＭＳ Ｐゴシック"/>
        <family val="3"/>
        <charset val="128"/>
        <scheme val="minor"/>
      </rPr>
      <t>「セルJ7」から「セルJ9」</t>
    </r>
    <r>
      <rPr>
        <b/>
        <sz val="10"/>
        <color theme="1"/>
        <rFont val="ＭＳ Ｐゴシック"/>
        <family val="3"/>
        <charset val="128"/>
        <scheme val="minor"/>
      </rPr>
      <t>には、</t>
    </r>
    <r>
      <rPr>
        <b/>
        <sz val="10"/>
        <color rgb="FFFF0000"/>
        <rFont val="ＭＳ Ｐゴシック"/>
        <family val="3"/>
        <charset val="128"/>
        <scheme val="minor"/>
      </rPr>
      <t>当該額を超えた場合のみ、その額が表示されるよう計算式を組み込んでいます</t>
    </r>
    <r>
      <rPr>
        <b/>
        <sz val="10"/>
        <color theme="1"/>
        <rFont val="ＭＳ Ｐゴシック"/>
        <family val="3"/>
        <charset val="128"/>
        <scheme val="minor"/>
      </rPr>
      <t>。</t>
    </r>
    <r>
      <rPr>
        <b/>
        <sz val="10"/>
        <color rgb="FFFF0000"/>
        <rFont val="ＭＳ Ｐゴシック"/>
        <family val="3"/>
        <charset val="128"/>
        <scheme val="minor"/>
      </rPr>
      <t>超えない場合は0と表示</t>
    </r>
    <r>
      <rPr>
        <b/>
        <sz val="10"/>
        <color theme="1"/>
        <rFont val="ＭＳ Ｐゴシック"/>
        <family val="3"/>
        <charset val="128"/>
        <scheme val="minor"/>
      </rPr>
      <t>されます。</t>
    </r>
    <rPh sb="0" eb="2">
      <t>トウガイ</t>
    </rPh>
    <rPh sb="2" eb="4">
      <t>サンシュツ</t>
    </rPh>
    <rPh sb="6" eb="8">
      <t>キュウフ</t>
    </rPh>
    <rPh sb="8" eb="9">
      <t>キン</t>
    </rPh>
    <rPh sb="10" eb="11">
      <t>ガク</t>
    </rPh>
    <rPh sb="17" eb="18">
      <t>エン</t>
    </rPh>
    <rPh sb="59" eb="60">
      <t>コシキュウシタガヒョウナカ</t>
    </rPh>
    <rPh sb="82" eb="84">
      <t>トウガイ</t>
    </rPh>
    <rPh sb="84" eb="85">
      <t>ガク</t>
    </rPh>
    <rPh sb="86" eb="87">
      <t>コ</t>
    </rPh>
    <rPh sb="89" eb="91">
      <t>バアイ</t>
    </rPh>
    <rPh sb="96" eb="97">
      <t>ガク</t>
    </rPh>
    <rPh sb="98" eb="100">
      <t>ヒョウジ</t>
    </rPh>
    <rPh sb="105" eb="108">
      <t>ケイサンシキ</t>
    </rPh>
    <rPh sb="109" eb="110">
      <t>ク</t>
    </rPh>
    <rPh sb="111" eb="112">
      <t>コ</t>
    </rPh>
    <rPh sb="118" eb="119">
      <t>コ</t>
    </rPh>
    <rPh sb="122" eb="124">
      <t>バアイ</t>
    </rPh>
    <rPh sb="127" eb="129">
      <t>ヒョウジ</t>
    </rPh>
    <phoneticPr fontId="2"/>
  </si>
  <si>
    <r>
      <t>黄色で示されたセルにご入力いただくことで「高年齢雇用継続基本給付金」等が自動的に算出されるよう設定しています。なお、</t>
    </r>
    <r>
      <rPr>
        <b/>
        <u/>
        <sz val="11"/>
        <color theme="1"/>
        <rFont val="ＭＳ Ｐゴシック"/>
        <family val="3"/>
        <charset val="128"/>
        <scheme val="minor"/>
      </rPr>
      <t>「支給率」及び「年金停止率」の欄で</t>
    </r>
    <r>
      <rPr>
        <b/>
        <u/>
        <sz val="16"/>
        <color theme="4" tint="-0.249977111117893"/>
        <rFont val="ＭＳ Ｐゴシック"/>
        <family val="3"/>
        <charset val="128"/>
        <scheme val="minor"/>
      </rPr>
      <t>「FALSE」</t>
    </r>
    <r>
      <rPr>
        <b/>
        <u/>
        <sz val="11"/>
        <color theme="1"/>
        <rFont val="ＭＳ Ｐゴシック"/>
        <family val="3"/>
        <charset val="128"/>
        <scheme val="minor"/>
      </rPr>
      <t>と表示</t>
    </r>
    <r>
      <rPr>
        <b/>
        <sz val="11"/>
        <color theme="1"/>
        <rFont val="ＭＳ Ｐゴシック"/>
        <family val="3"/>
        <charset val="128"/>
        <scheme val="minor"/>
      </rPr>
      <t>されている行については、</t>
    </r>
    <r>
      <rPr>
        <b/>
        <u/>
        <sz val="11"/>
        <color theme="1"/>
        <rFont val="ＭＳ Ｐゴシック"/>
        <family val="3"/>
        <charset val="128"/>
        <scheme val="minor"/>
      </rPr>
      <t>ご入力いただいた方には当てはまらないことを意味</t>
    </r>
    <r>
      <rPr>
        <b/>
        <sz val="11"/>
        <color theme="1"/>
        <rFont val="ＭＳ Ｐゴシック"/>
        <family val="3"/>
        <charset val="128"/>
        <scheme val="minor"/>
      </rPr>
      <t>していますので、無視していただくようお願いします。</t>
    </r>
    <rPh sb="0" eb="2">
      <t>キイロ</t>
    </rPh>
    <rPh sb="3" eb="4">
      <t>シメ</t>
    </rPh>
    <rPh sb="11" eb="13">
      <t>ニュウリョク</t>
    </rPh>
    <rPh sb="28" eb="30">
      <t>キホン</t>
    </rPh>
    <rPh sb="30" eb="33">
      <t>キュウフキン</t>
    </rPh>
    <rPh sb="34" eb="35">
      <t>トウ</t>
    </rPh>
    <rPh sb="36" eb="39">
      <t>ジドウテキ</t>
    </rPh>
    <rPh sb="40" eb="42">
      <t>サンシュツ</t>
    </rPh>
    <rPh sb="47" eb="49">
      <t>セッテイ</t>
    </rPh>
    <rPh sb="59" eb="61">
      <t>シキュウ</t>
    </rPh>
    <rPh sb="61" eb="62">
      <t>リツ</t>
    </rPh>
    <rPh sb="63" eb="64">
      <t>オヨ</t>
    </rPh>
    <rPh sb="66" eb="68">
      <t>ネンキン</t>
    </rPh>
    <rPh sb="68" eb="70">
      <t>テイシ</t>
    </rPh>
    <rPh sb="70" eb="71">
      <t>リツ</t>
    </rPh>
    <rPh sb="73" eb="74">
      <t>ラン</t>
    </rPh>
    <rPh sb="83" eb="85">
      <t>ヒョウジ</t>
    </rPh>
    <rPh sb="90" eb="91">
      <t>ギョウ</t>
    </rPh>
    <rPh sb="98" eb="100">
      <t>ニュウリョク</t>
    </rPh>
    <rPh sb="105" eb="106">
      <t>カタ</t>
    </rPh>
    <rPh sb="108" eb="109">
      <t>ア</t>
    </rPh>
    <rPh sb="118" eb="120">
      <t>イミ</t>
    </rPh>
    <rPh sb="128" eb="130">
      <t>ムシ</t>
    </rPh>
    <rPh sb="139" eb="140">
      <t>ネガ</t>
    </rPh>
    <phoneticPr fontId="2"/>
  </si>
  <si>
    <r>
      <t>標準報酬月額
/</t>
    </r>
    <r>
      <rPr>
        <b/>
        <u/>
        <sz val="11"/>
        <color theme="1"/>
        <rFont val="ＭＳ Ｐゴシック"/>
        <family val="3"/>
        <charset val="128"/>
        <scheme val="minor"/>
      </rPr>
      <t>標準賞与額
(千円未満切捨)</t>
    </r>
    <rPh sb="0" eb="4">
      <t>ヒョウジュンホウシュウ</t>
    </rPh>
    <rPh sb="4" eb="6">
      <t>ゲツガク</t>
    </rPh>
    <rPh sb="8" eb="10">
      <t>ヒョウジュン</t>
    </rPh>
    <rPh sb="10" eb="12">
      <t>ショウヨ</t>
    </rPh>
    <rPh sb="12" eb="13">
      <t>ガク</t>
    </rPh>
    <rPh sb="15" eb="17">
      <t>センエン</t>
    </rPh>
    <rPh sb="17" eb="19">
      <t>ミマン</t>
    </rPh>
    <rPh sb="19" eb="21">
      <t>キリス</t>
    </rPh>
    <phoneticPr fontId="2"/>
  </si>
  <si>
    <r>
      <t>調整対象月</t>
    </r>
    <r>
      <rPr>
        <b/>
        <sz val="10"/>
        <color rgb="FFFF0000"/>
        <rFont val="ＭＳ Ｐゴシック"/>
        <family val="3"/>
        <charset val="128"/>
        <scheme val="minor"/>
      </rPr>
      <t>※1</t>
    </r>
    <r>
      <rPr>
        <b/>
        <sz val="10"/>
        <rFont val="ＭＳ Ｐゴシック"/>
        <family val="3"/>
        <charset val="128"/>
        <scheme val="minor"/>
      </rPr>
      <t>or賞与等支給月</t>
    </r>
    <rPh sb="0" eb="2">
      <t>チョウセイ</t>
    </rPh>
    <rPh sb="2" eb="4">
      <t>タイショウ</t>
    </rPh>
    <rPh sb="4" eb="5">
      <t>ゲツ</t>
    </rPh>
    <rPh sb="9" eb="11">
      <t>ショウヨ</t>
    </rPh>
    <rPh sb="11" eb="12">
      <t>トウ</t>
    </rPh>
    <rPh sb="12" eb="14">
      <t>シキュウ</t>
    </rPh>
    <rPh sb="14" eb="15">
      <t>ゲツ</t>
    </rPh>
    <phoneticPr fontId="2"/>
  </si>
  <si>
    <r>
      <rPr>
        <b/>
        <sz val="11"/>
        <color rgb="FFFF0000"/>
        <rFont val="ＭＳ Ｐゴシック"/>
        <family val="3"/>
        <charset val="128"/>
        <scheme val="minor"/>
      </rPr>
      <t>※2</t>
    </r>
    <r>
      <rPr>
        <b/>
        <sz val="11"/>
        <color theme="1"/>
        <rFont val="ＭＳ Ｐゴシック"/>
        <family val="3"/>
        <charset val="128"/>
        <scheme val="minor"/>
      </rPr>
      <t>　標準報酬月額については、</t>
    </r>
    <r>
      <rPr>
        <b/>
        <sz val="11"/>
        <color rgb="FFFF0000"/>
        <rFont val="ＭＳ Ｐゴシック"/>
        <family val="3"/>
        <charset val="128"/>
        <scheme val="minor"/>
      </rPr>
      <t>「セルH22」</t>
    </r>
    <r>
      <rPr>
        <b/>
        <sz val="11"/>
        <color theme="1"/>
        <rFont val="ＭＳ Ｐゴシック"/>
        <family val="3"/>
        <charset val="128"/>
        <scheme val="minor"/>
      </rPr>
      <t>にプルダウンメニューを設けていますので、ご自身に付与されている額をご選択下さい。</t>
    </r>
    <rPh sb="3" eb="9">
      <t>ヒョウジュンホウシュウゲツガク</t>
    </rPh>
    <rPh sb="33" eb="34">
      <t>モウ</t>
    </rPh>
    <rPh sb="43" eb="45">
      <t>ジシン</t>
    </rPh>
    <rPh sb="46" eb="48">
      <t>フヨ</t>
    </rPh>
    <rPh sb="53" eb="54">
      <t>ガク</t>
    </rPh>
    <rPh sb="56" eb="58">
      <t>センタク</t>
    </rPh>
    <rPh sb="58" eb="59">
      <t>クダ</t>
    </rPh>
    <phoneticPr fontId="2"/>
  </si>
  <si>
    <r>
      <rPr>
        <b/>
        <sz val="11"/>
        <color rgb="FFFF0000"/>
        <rFont val="ＭＳ Ｐゴシック"/>
        <family val="3"/>
        <charset val="128"/>
        <scheme val="minor"/>
      </rPr>
      <t>「セルB9」</t>
    </r>
    <r>
      <rPr>
        <b/>
        <sz val="11"/>
        <color theme="1"/>
        <rFont val="ＭＳ Ｐゴシック"/>
        <family val="3"/>
        <charset val="128"/>
        <scheme val="minor"/>
      </rPr>
      <t>には「在職老齢年金制度」で使われる「総報酬月額相当額」</t>
    </r>
    <r>
      <rPr>
        <b/>
        <sz val="11"/>
        <color rgb="FFFF0000"/>
        <rFont val="ＭＳ Ｐゴシック"/>
        <family val="3"/>
        <charset val="128"/>
        <scheme val="minor"/>
      </rPr>
      <t>※3</t>
    </r>
    <r>
      <rPr>
        <b/>
        <sz val="11"/>
        <color theme="1"/>
        <rFont val="ＭＳ Ｐゴシック"/>
        <family val="3"/>
        <charset val="128"/>
        <scheme val="minor"/>
      </rPr>
      <t>が表示されるようになっています。下記「総報酬月額相当額算出表」にある黄色で色付けされたセルにご自身でご入力いただくことで、最終的に「総報酬月額相当額」が算出されるようようになっていて、当該額はその</t>
    </r>
    <r>
      <rPr>
        <b/>
        <sz val="11"/>
        <color rgb="FFFF0000"/>
        <rFont val="ＭＳ Ｐゴシック"/>
        <family val="3"/>
        <charset val="128"/>
        <scheme val="minor"/>
      </rPr>
      <t>「セルB9」</t>
    </r>
    <r>
      <rPr>
        <b/>
        <sz val="11"/>
        <color theme="1"/>
        <rFont val="ＭＳ Ｐゴシック"/>
        <family val="3"/>
        <charset val="128"/>
        <scheme val="minor"/>
      </rPr>
      <t>に転記されます。</t>
    </r>
    <phoneticPr fontId="2"/>
  </si>
  <si>
    <r>
      <t>黄色で示されたセルにご入力いただくことで「高年齢雇用継続基本給付金」等が自動的に算出されるよう設定しています。なお、</t>
    </r>
    <r>
      <rPr>
        <b/>
        <u/>
        <sz val="11"/>
        <color theme="1"/>
        <rFont val="ＭＳ Ｐゴシック"/>
        <family val="3"/>
        <charset val="128"/>
        <scheme val="minor"/>
      </rPr>
      <t>「支給率」及び「年金停止率」の欄で</t>
    </r>
    <r>
      <rPr>
        <b/>
        <u/>
        <sz val="16"/>
        <color theme="4" tint="-0.249977111117893"/>
        <rFont val="ＭＳ Ｐゴシック"/>
        <family val="3"/>
        <charset val="128"/>
        <scheme val="minor"/>
      </rPr>
      <t>「FALSE」</t>
    </r>
    <r>
      <rPr>
        <b/>
        <u/>
        <sz val="11"/>
        <color theme="1"/>
        <rFont val="ＭＳ Ｐゴシック"/>
        <family val="3"/>
        <charset val="128"/>
        <scheme val="minor"/>
      </rPr>
      <t>と表示</t>
    </r>
    <r>
      <rPr>
        <b/>
        <sz val="11"/>
        <color theme="1"/>
        <rFont val="ＭＳ Ｐゴシック"/>
        <family val="3"/>
        <charset val="128"/>
        <scheme val="minor"/>
      </rPr>
      <t>されている行については、</t>
    </r>
    <r>
      <rPr>
        <b/>
        <u/>
        <sz val="11"/>
        <color theme="1"/>
        <rFont val="ＭＳ Ｐゴシック"/>
        <family val="3"/>
        <charset val="128"/>
        <scheme val="minor"/>
      </rPr>
      <t>ご入力いただいた方には当てはまらないことを意味</t>
    </r>
    <r>
      <rPr>
        <b/>
        <sz val="11"/>
        <color theme="1"/>
        <rFont val="ＭＳ Ｐゴシック"/>
        <family val="3"/>
        <charset val="128"/>
        <scheme val="minor"/>
      </rPr>
      <t>していますので、無視していただくようお願いします。</t>
    </r>
    <phoneticPr fontId="2"/>
  </si>
  <si>
    <r>
      <rPr>
        <b/>
        <sz val="11"/>
        <color rgb="FFFF0000"/>
        <rFont val="ＭＳ Ｐゴシック"/>
        <family val="3"/>
        <charset val="128"/>
        <scheme val="minor"/>
      </rPr>
      <t>「セルB9」</t>
    </r>
    <r>
      <rPr>
        <b/>
        <sz val="11"/>
        <color theme="1"/>
        <rFont val="ＭＳ Ｐゴシック"/>
        <family val="3"/>
        <charset val="128"/>
        <scheme val="minor"/>
      </rPr>
      <t>には「在職老齢年金制度」で使われる「総報酬月額相当額」</t>
    </r>
    <r>
      <rPr>
        <b/>
        <sz val="11"/>
        <color rgb="FFFF0000"/>
        <rFont val="ＭＳ Ｐゴシック"/>
        <family val="3"/>
        <charset val="128"/>
        <scheme val="minor"/>
      </rPr>
      <t>※3</t>
    </r>
    <r>
      <rPr>
        <b/>
        <sz val="11"/>
        <color theme="1"/>
        <rFont val="ＭＳ Ｐゴシック"/>
        <family val="3"/>
        <charset val="128"/>
        <scheme val="minor"/>
      </rPr>
      <t>が表示されるようになっています。下記「総報酬月額相当額算出表」にある黄色で色付けされたセルにご自身でご入力いただくことで、最終的に「総報酬月額相当額」が算出されるようようになっていて、当該額はその</t>
    </r>
    <r>
      <rPr>
        <b/>
        <sz val="11"/>
        <color rgb="FFFF0000"/>
        <rFont val="ＭＳ Ｐゴシック"/>
        <family val="3"/>
        <charset val="128"/>
        <scheme val="minor"/>
      </rPr>
      <t>「セルB9」</t>
    </r>
    <r>
      <rPr>
        <b/>
        <sz val="11"/>
        <color theme="1"/>
        <rFont val="ＭＳ Ｐゴシック"/>
        <family val="3"/>
        <charset val="128"/>
        <scheme val="minor"/>
      </rPr>
      <t>に転記されます。</t>
    </r>
    <rPh sb="9" eb="11">
      <t>ザイショク</t>
    </rPh>
    <rPh sb="11" eb="13">
      <t>ロウレイ</t>
    </rPh>
    <rPh sb="13" eb="15">
      <t>ネンキン</t>
    </rPh>
    <rPh sb="15" eb="17">
      <t>セイド</t>
    </rPh>
    <rPh sb="19" eb="20">
      <t>ツカ</t>
    </rPh>
    <rPh sb="24" eb="27">
      <t>ソウホウシュウ</t>
    </rPh>
    <rPh sb="27" eb="29">
      <t>ゲツガク</t>
    </rPh>
    <rPh sb="29" eb="32">
      <t>ソウトウガク</t>
    </rPh>
    <rPh sb="36" eb="38">
      <t>ヒョウジ</t>
    </rPh>
    <rPh sb="51" eb="53">
      <t>カキ</t>
    </rPh>
    <rPh sb="54" eb="57">
      <t>ソウホウシュウ</t>
    </rPh>
    <rPh sb="57" eb="62">
      <t>ゲツガクソウトウガク</t>
    </rPh>
    <rPh sb="62" eb="64">
      <t>サンシュツ</t>
    </rPh>
    <rPh sb="64" eb="65">
      <t>ヒョウ</t>
    </rPh>
    <rPh sb="69" eb="71">
      <t>キイロ</t>
    </rPh>
    <rPh sb="72" eb="74">
      <t>イロヅ</t>
    </rPh>
    <rPh sb="82" eb="84">
      <t>ジシン</t>
    </rPh>
    <rPh sb="86" eb="88">
      <t>ニュウリョク</t>
    </rPh>
    <rPh sb="96" eb="99">
      <t>サイシュウテキ</t>
    </rPh>
    <rPh sb="101" eb="109">
      <t>ソウホウシュウゲツガクソウトウガク</t>
    </rPh>
    <rPh sb="111" eb="113">
      <t>サンシュツ</t>
    </rPh>
    <rPh sb="127" eb="129">
      <t>トウガイ</t>
    </rPh>
    <rPh sb="129" eb="130">
      <t>ガク</t>
    </rPh>
    <rPh sb="140" eb="142">
      <t>テンキ</t>
    </rPh>
    <phoneticPr fontId="2"/>
  </si>
  <si>
    <r>
      <t>今般の「高年齢雇用継続給付の支給率引き下げ(最大15%➨同10%)に伴い、高年齢雇用継続給付支給による「在職老齢年金制度の仕組みによる支給停止に加えてのさらなる年金支給停止」が行わる場合のその支給停止率についても引き下げられる(最大6%➨同4%)ことになりました。その場合でも、</t>
    </r>
    <r>
      <rPr>
        <b/>
        <sz val="11"/>
        <color rgb="FFFF0000"/>
        <rFont val="ＭＳ Ｐゴシック"/>
        <family val="3"/>
        <charset val="128"/>
        <scheme val="minor"/>
      </rPr>
      <t>下記のいずかにに該当する場合</t>
    </r>
    <r>
      <rPr>
        <b/>
        <sz val="11"/>
        <color theme="1"/>
        <rFont val="ＭＳ Ｐゴシック"/>
        <family val="3"/>
        <charset val="128"/>
        <scheme val="minor"/>
      </rPr>
      <t>には、なお、</t>
    </r>
    <r>
      <rPr>
        <b/>
        <sz val="11"/>
        <color rgb="FFFF0000"/>
        <rFont val="ＭＳ Ｐゴシック"/>
        <family val="3"/>
        <charset val="128"/>
        <scheme val="minor"/>
      </rPr>
      <t>従前の例(最大15%・同6%)による</t>
    </r>
    <r>
      <rPr>
        <b/>
        <sz val="11"/>
        <color theme="1"/>
        <rFont val="ＭＳ Ｐゴシック"/>
        <family val="3"/>
        <charset val="128"/>
        <scheme val="minor"/>
      </rPr>
      <t>こととされていますので、ご注意下さい。
・施行日(H7.4.1)より前に60歳に達し、「高年齢雇用継続基本給付金」が支給される場合
・施行日(H7.4.1)より前に再就職し、「高年齢再就職給付金」が支給される場合</t>
    </r>
    <rPh sb="0" eb="2">
      <t>コンパン</t>
    </rPh>
    <rPh sb="4" eb="13">
      <t>コウネンレイコヨウケイゾクキュウフ</t>
    </rPh>
    <rPh sb="14" eb="17">
      <t>シキュウリツ</t>
    </rPh>
    <rPh sb="17" eb="18">
      <t>ヒ</t>
    </rPh>
    <rPh sb="19" eb="20">
      <t>サ</t>
    </rPh>
    <rPh sb="22" eb="24">
      <t>サイダイ</t>
    </rPh>
    <rPh sb="28" eb="29">
      <t>ドウ</t>
    </rPh>
    <rPh sb="34" eb="35">
      <t>トモナ</t>
    </rPh>
    <rPh sb="52" eb="54">
      <t>ザイショク</t>
    </rPh>
    <rPh sb="88" eb="89">
      <t>オコナ</t>
    </rPh>
    <rPh sb="91" eb="93">
      <t>バアイ</t>
    </rPh>
    <rPh sb="96" eb="100">
      <t>シキュウテイシ</t>
    </rPh>
    <rPh sb="100" eb="101">
      <t>リツ</t>
    </rPh>
    <rPh sb="106" eb="107">
      <t>ヒ</t>
    </rPh>
    <rPh sb="108" eb="109">
      <t>サ</t>
    </rPh>
    <rPh sb="114" eb="116">
      <t>サイダイ</t>
    </rPh>
    <rPh sb="119" eb="120">
      <t>ドウ</t>
    </rPh>
    <rPh sb="134" eb="136">
      <t>バアイ</t>
    </rPh>
    <rPh sb="139" eb="141">
      <t>カキ</t>
    </rPh>
    <rPh sb="147" eb="149">
      <t>ガイトウ</t>
    </rPh>
    <rPh sb="151" eb="153">
      <t>バアイ</t>
    </rPh>
    <rPh sb="159" eb="161">
      <t>ジュウゼン</t>
    </rPh>
    <rPh sb="162" eb="163">
      <t>レイ</t>
    </rPh>
    <rPh sb="164" eb="166">
      <t>サイダイ</t>
    </rPh>
    <rPh sb="170" eb="171">
      <t>ドウ</t>
    </rPh>
    <rPh sb="190" eb="192">
      <t>チュウイ</t>
    </rPh>
    <rPh sb="192" eb="193">
      <t>クダ</t>
    </rPh>
    <rPh sb="198" eb="201">
      <t>セコウヒ</t>
    </rPh>
    <rPh sb="211" eb="212">
      <t>マエ</t>
    </rPh>
    <rPh sb="215" eb="216">
      <t>サイ</t>
    </rPh>
    <rPh sb="217" eb="218">
      <t>タッ</t>
    </rPh>
    <phoneticPr fontId="2"/>
  </si>
  <si>
    <r>
      <rPr>
        <b/>
        <sz val="11"/>
        <color rgb="FFFF0000"/>
        <rFont val="ＭＳ Ｐゴシック"/>
        <family val="3"/>
        <charset val="128"/>
        <scheme val="minor"/>
      </rPr>
      <t>注3)</t>
    </r>
    <r>
      <rPr>
        <b/>
        <sz val="11"/>
        <color theme="1"/>
        <rFont val="ＭＳ Ｐゴシック"/>
        <family val="3"/>
        <charset val="128"/>
        <scheme val="minor"/>
      </rPr>
      <t>　&lt;高年齢雇用継続給付と老齢厚生年金との併給調整に関して&gt;　</t>
    </r>
    <rPh sb="5" eb="14">
      <t>コウネンレイコヨウケイゾクキュウフ</t>
    </rPh>
    <rPh sb="15" eb="21">
      <t>ロウレイコウセイネンキン</t>
    </rPh>
    <rPh sb="23" eb="25">
      <t>ヘイキュウ</t>
    </rPh>
    <rPh sb="25" eb="27">
      <t>チョウセイ</t>
    </rPh>
    <rPh sb="28" eb="29">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</si>
</sst>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b/>
      <sz val="16"/>
      <color theme="1"/>
      <name val="ＭＳ Ｐゴシック"/>
      <family val="2"/>
      <charset val="128"/>
      <scheme val="minor"/>
    </font>
    <font>
      <b/>
      <sz val="24"/>
      <color theme="1"/>
      <name val="ＭＳ Ｐゴシック"/>
      <family val="3"/>
      <charset val="128"/>
      <scheme val="minor"/>
    </font>
    <font>
      <b/>
      <sz val="10"/>
      <color theme="1"/>
      <name val="ＭＳ Ｐゴシック"/>
      <family val="2"/>
      <charset val="128"/>
      <scheme val="minor"/>
    </font>
    <font>
      <b/>
      <u/>
      <sz val="11"/>
      <color rgb="FFFF0000"/>
      <name val="ＭＳ Ｐゴシック"/>
      <family val="3"/>
      <charset val="128"/>
      <scheme val="minor"/>
    </font>
    <font>
      <b/>
      <u/>
      <sz val="10"/>
      <color rgb="FFFF0000"/>
      <name val="ＭＳ Ｐゴシック"/>
      <family val="3"/>
      <charset val="128"/>
      <scheme val="minor"/>
    </font>
    <font>
      <b/>
      <sz val="8"/>
      <color theme="1"/>
      <name val="ＭＳ Ｐゴシック"/>
      <family val="3"/>
      <charset val="128"/>
      <scheme val="minor"/>
    </font>
    <font>
      <b/>
      <sz val="9"/>
      <color theme="1"/>
      <name val="ＭＳ Ｐゴシック"/>
      <family val="3"/>
      <charset val="128"/>
      <scheme val="minor"/>
    </font>
    <font>
      <b/>
      <u/>
      <sz val="11"/>
      <color theme="1"/>
      <name val="ＭＳ Ｐゴシック"/>
      <family val="3"/>
      <charset val="128"/>
      <scheme val="minor"/>
    </font>
    <font>
      <b/>
      <u/>
      <sz val="16"/>
      <color theme="4" tint="-0.249977111117893"/>
      <name val="ＭＳ Ｐゴシック"/>
      <family val="3"/>
      <charset val="128"/>
      <scheme val="minor"/>
    </font>
    <font>
      <b/>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dashed">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0">
    <xf numFmtId="0" fontId="0" fillId="0" borderId="0" xfId="0">
      <alignment vertical="center"/>
    </xf>
    <xf numFmtId="0" fontId="3" fillId="0" borderId="9" xfId="0" applyFont="1" applyBorder="1" applyAlignment="1">
      <alignment horizontal="center" vertical="center" wrapText="1"/>
    </xf>
    <xf numFmtId="0" fontId="11" fillId="0" borderId="0" xfId="0" applyFont="1">
      <alignment vertical="center"/>
    </xf>
    <xf numFmtId="38" fontId="8" fillId="0" borderId="5" xfId="1" applyFont="1" applyFill="1" applyBorder="1">
      <alignment vertical="center"/>
    </xf>
    <xf numFmtId="176" fontId="12" fillId="0" borderId="3" xfId="2" applyNumberFormat="1" applyFont="1" applyFill="1" applyBorder="1" applyAlignment="1">
      <alignment horizontal="center" vertical="center"/>
    </xf>
    <xf numFmtId="38" fontId="8" fillId="0" borderId="3" xfId="1" applyFont="1" applyFill="1" applyBorder="1">
      <alignment vertical="center"/>
    </xf>
    <xf numFmtId="10" fontId="8" fillId="0" borderId="3" xfId="2" applyNumberFormat="1" applyFont="1" applyFill="1" applyBorder="1">
      <alignment vertical="center"/>
    </xf>
    <xf numFmtId="176" fontId="12" fillId="0" borderId="5" xfId="2" applyNumberFormat="1" applyFont="1" applyFill="1" applyBorder="1" applyAlignment="1">
      <alignment horizontal="center" vertical="center"/>
    </xf>
    <xf numFmtId="10" fontId="8" fillId="0" borderId="5" xfId="2" applyNumberFormat="1" applyFont="1" applyFill="1" applyBorder="1">
      <alignment vertical="center"/>
    </xf>
    <xf numFmtId="176" fontId="12" fillId="0" borderId="7" xfId="2" applyNumberFormat="1" applyFont="1" applyFill="1" applyBorder="1" applyAlignment="1">
      <alignment horizontal="center" vertical="center"/>
    </xf>
    <xf numFmtId="10" fontId="8" fillId="0" borderId="7" xfId="2" applyNumberFormat="1" applyFont="1" applyFill="1" applyBorder="1">
      <alignment vertical="center"/>
    </xf>
    <xf numFmtId="0" fontId="3" fillId="0" borderId="13" xfId="0" applyFont="1" applyBorder="1" applyAlignment="1">
      <alignment horizontal="center" vertical="center" wrapText="1"/>
    </xf>
    <xf numFmtId="0" fontId="4" fillId="0" borderId="0" xfId="0" applyFont="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center" vertical="center"/>
    </xf>
    <xf numFmtId="0" fontId="9" fillId="0" borderId="21" xfId="0" applyFont="1" applyBorder="1" applyAlignment="1">
      <alignment horizontal="center" vertical="center" wrapText="1"/>
    </xf>
    <xf numFmtId="0" fontId="3" fillId="0" borderId="29" xfId="0" applyFont="1" applyBorder="1" applyAlignment="1">
      <alignment horizontal="center" vertical="center" wrapText="1"/>
    </xf>
    <xf numFmtId="38" fontId="8" fillId="0" borderId="21" xfId="1" applyFont="1" applyFill="1" applyBorder="1">
      <alignment vertical="center"/>
    </xf>
    <xf numFmtId="38" fontId="8" fillId="0" borderId="21" xfId="0" applyNumberFormat="1" applyFont="1" applyBorder="1">
      <alignment vertical="center"/>
    </xf>
    <xf numFmtId="38" fontId="8" fillId="0" borderId="22" xfId="1" applyFont="1" applyFill="1" applyBorder="1">
      <alignment vertical="center"/>
    </xf>
    <xf numFmtId="38" fontId="8" fillId="0" borderId="22" xfId="0" applyNumberFormat="1" applyFont="1" applyBorder="1">
      <alignment vertical="center"/>
    </xf>
    <xf numFmtId="38" fontId="8" fillId="0" borderId="23" xfId="1" applyFont="1" applyFill="1" applyBorder="1">
      <alignment vertical="center"/>
    </xf>
    <xf numFmtId="38" fontId="8" fillId="0" borderId="23" xfId="0" applyNumberFormat="1" applyFont="1" applyBorder="1">
      <alignment vertical="center"/>
    </xf>
    <xf numFmtId="38" fontId="8" fillId="0" borderId="7" xfId="1" applyFont="1" applyFill="1" applyBorder="1">
      <alignment vertical="center"/>
    </xf>
    <xf numFmtId="38" fontId="5" fillId="0" borderId="29" xfId="1" applyFont="1" applyBorder="1" applyAlignment="1">
      <alignment horizontal="center" vertical="center" wrapText="1"/>
    </xf>
    <xf numFmtId="10" fontId="11" fillId="0" borderId="0" xfId="2" applyNumberFormat="1" applyFont="1">
      <alignment vertical="center"/>
    </xf>
    <xf numFmtId="10" fontId="11" fillId="0" borderId="0" xfId="2" applyNumberFormat="1" applyFont="1" applyBorder="1" applyAlignment="1">
      <alignment vertical="center"/>
    </xf>
    <xf numFmtId="0" fontId="3"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xf>
    <xf numFmtId="0" fontId="3" fillId="0" borderId="21" xfId="0" applyFont="1" applyBorder="1" applyAlignment="1">
      <alignment horizontal="center" vertical="center" wrapText="1"/>
    </xf>
    <xf numFmtId="38" fontId="14" fillId="0" borderId="35" xfId="1" applyFont="1" applyFill="1" applyBorder="1" applyAlignment="1">
      <alignment horizontal="center" vertical="center"/>
    </xf>
    <xf numFmtId="38" fontId="3" fillId="0" borderId="0" xfId="1" applyFont="1">
      <alignment vertical="center"/>
    </xf>
    <xf numFmtId="0" fontId="3" fillId="0" borderId="0" xfId="0" applyFont="1">
      <alignment vertical="center"/>
    </xf>
    <xf numFmtId="0" fontId="3" fillId="0" borderId="35" xfId="0" applyFont="1" applyBorder="1" applyAlignment="1">
      <alignment horizontal="center" vertical="center" wrapText="1"/>
    </xf>
    <xf numFmtId="0" fontId="17" fillId="0" borderId="0" xfId="0" applyFont="1" applyAlignment="1">
      <alignment horizontal="center" vertical="center"/>
    </xf>
    <xf numFmtId="38" fontId="3" fillId="0" borderId="0" xfId="1" applyFont="1" applyFill="1" applyAlignment="1">
      <alignment horizontal="right" vertical="center"/>
    </xf>
    <xf numFmtId="38" fontId="3" fillId="0" borderId="0" xfId="1" applyFont="1" applyFill="1">
      <alignment vertical="center"/>
    </xf>
    <xf numFmtId="0" fontId="3" fillId="0" borderId="0" xfId="0" applyFont="1" applyAlignment="1">
      <alignment horizontal="center" vertical="center"/>
    </xf>
    <xf numFmtId="0" fontId="17" fillId="2" borderId="36" xfId="0" applyFont="1" applyFill="1" applyBorder="1" applyAlignment="1">
      <alignment horizontal="center" vertical="center"/>
    </xf>
    <xf numFmtId="38" fontId="3" fillId="2" borderId="36" xfId="1" applyFont="1" applyFill="1" applyBorder="1" applyAlignment="1">
      <alignment horizontal="right" vertical="center"/>
    </xf>
    <xf numFmtId="38" fontId="3" fillId="0" borderId="36" xfId="1" applyFont="1" applyFill="1" applyBorder="1">
      <alignment vertical="center"/>
    </xf>
    <xf numFmtId="0" fontId="3" fillId="0" borderId="38" xfId="0" applyFont="1" applyBorder="1" applyAlignment="1">
      <alignment horizontal="center" vertical="center"/>
    </xf>
    <xf numFmtId="0" fontId="3" fillId="0" borderId="39" xfId="0" applyFont="1" applyBorder="1">
      <alignment vertical="center"/>
    </xf>
    <xf numFmtId="0" fontId="3" fillId="0" borderId="40" xfId="0" applyFont="1" applyBorder="1" applyAlignment="1">
      <alignment horizontal="center" vertical="center" wrapText="1"/>
    </xf>
    <xf numFmtId="0" fontId="3" fillId="0" borderId="44" xfId="0" applyFont="1" applyBorder="1" applyAlignment="1">
      <alignment horizontal="center" vertical="center"/>
    </xf>
    <xf numFmtId="38" fontId="3" fillId="2" borderId="46" xfId="1" applyFont="1" applyFill="1" applyBorder="1" applyAlignment="1">
      <alignment horizontal="right" vertical="center"/>
    </xf>
    <xf numFmtId="38" fontId="3" fillId="0" borderId="46" xfId="1" applyFont="1" applyFill="1" applyBorder="1">
      <alignment vertical="center"/>
    </xf>
    <xf numFmtId="38" fontId="3" fillId="0" borderId="40" xfId="1" applyFont="1" applyFill="1" applyBorder="1">
      <alignment vertical="center"/>
    </xf>
    <xf numFmtId="49" fontId="3" fillId="0" borderId="9" xfId="0" applyNumberFormat="1" applyFont="1" applyBorder="1" applyAlignment="1">
      <alignment horizontal="center" vertical="center"/>
    </xf>
    <xf numFmtId="0" fontId="0" fillId="2" borderId="36" xfId="0" applyFill="1" applyBorder="1" applyAlignment="1">
      <alignment horizontal="center" vertical="center"/>
    </xf>
    <xf numFmtId="0" fontId="3" fillId="2" borderId="38" xfId="0" applyFont="1" applyFill="1" applyBorder="1" applyAlignment="1">
      <alignment horizontal="center" vertical="center"/>
    </xf>
    <xf numFmtId="0" fontId="0" fillId="2" borderId="46" xfId="0" applyFill="1" applyBorder="1" applyAlignment="1">
      <alignment horizontal="center" vertical="center"/>
    </xf>
    <xf numFmtId="0" fontId="5" fillId="0" borderId="37" xfId="0" applyFont="1" applyBorder="1" applyAlignment="1">
      <alignment horizontal="center" vertical="center"/>
    </xf>
    <xf numFmtId="38" fontId="12" fillId="0" borderId="13" xfId="1" applyFont="1" applyFill="1" applyBorder="1" applyAlignment="1">
      <alignment horizontal="center" vertical="center"/>
    </xf>
    <xf numFmtId="49" fontId="3" fillId="0" borderId="0" xfId="1" applyNumberFormat="1" applyFont="1" applyFill="1" applyAlignment="1">
      <alignment horizontal="left" vertical="center"/>
    </xf>
    <xf numFmtId="38" fontId="8" fillId="0" borderId="13" xfId="1" applyFont="1" applyBorder="1">
      <alignment vertical="center"/>
    </xf>
    <xf numFmtId="38" fontId="8" fillId="2" borderId="48" xfId="1" applyFont="1" applyFill="1" applyBorder="1" applyAlignment="1">
      <alignment vertical="center"/>
    </xf>
    <xf numFmtId="38" fontId="8" fillId="0" borderId="43" xfId="1" applyFont="1" applyFill="1" applyBorder="1">
      <alignment vertical="center"/>
    </xf>
    <xf numFmtId="38" fontId="3" fillId="0" borderId="0" xfId="0" applyNumberFormat="1" applyFont="1">
      <alignment vertical="center"/>
    </xf>
    <xf numFmtId="10" fontId="8" fillId="3" borderId="2" xfId="2" applyNumberFormat="1" applyFont="1" applyFill="1" applyBorder="1" applyAlignment="1">
      <alignment horizontal="center" vertical="center"/>
    </xf>
    <xf numFmtId="10" fontId="8" fillId="3" borderId="4" xfId="2" applyNumberFormat="1" applyFont="1" applyFill="1" applyBorder="1" applyAlignment="1">
      <alignment horizontal="center" vertical="center"/>
    </xf>
    <xf numFmtId="10" fontId="8" fillId="3" borderId="6" xfId="2" applyNumberFormat="1" applyFont="1" applyFill="1" applyBorder="1" applyAlignment="1">
      <alignment horizontal="center" vertical="center"/>
    </xf>
    <xf numFmtId="38" fontId="3" fillId="2" borderId="0" xfId="0" applyNumberFormat="1" applyFont="1" applyFill="1">
      <alignment vertical="center"/>
    </xf>
    <xf numFmtId="38" fontId="8" fillId="0" borderId="49" xfId="1" applyFont="1" applyFill="1" applyBorder="1">
      <alignment vertical="center"/>
    </xf>
    <xf numFmtId="38" fontId="8" fillId="0" borderId="2" xfId="1" applyFont="1" applyFill="1" applyBorder="1">
      <alignment vertical="center"/>
    </xf>
    <xf numFmtId="38" fontId="8" fillId="0" borderId="4" xfId="1" applyFont="1" applyFill="1" applyBorder="1">
      <alignment vertical="center"/>
    </xf>
    <xf numFmtId="0" fontId="3" fillId="0" borderId="0" xfId="0" applyFont="1" applyAlignment="1">
      <alignment horizontal="center" vertical="center" wrapText="1"/>
    </xf>
    <xf numFmtId="0" fontId="5" fillId="0" borderId="41" xfId="0" applyFont="1" applyBorder="1" applyAlignment="1">
      <alignment horizontal="center"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3" fillId="0" borderId="19" xfId="0" applyFont="1" applyBorder="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38" fontId="8" fillId="2" borderId="2" xfId="1" applyFont="1" applyFill="1" applyBorder="1" applyAlignment="1">
      <alignment horizontal="center" vertical="center"/>
    </xf>
    <xf numFmtId="38" fontId="8" fillId="2" borderId="3" xfId="1" applyFont="1" applyFill="1" applyBorder="1" applyAlignment="1">
      <alignment horizontal="center" vertical="center"/>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38" fontId="8" fillId="0" borderId="20" xfId="1" applyFont="1" applyBorder="1" applyAlignment="1">
      <alignment horizontal="center" vertical="center"/>
    </xf>
    <xf numFmtId="38" fontId="8" fillId="0" borderId="11" xfId="1"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5"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38" fontId="8" fillId="2" borderId="8" xfId="1" applyFont="1" applyFill="1" applyBorder="1" applyAlignment="1">
      <alignment horizontal="center" vertical="center"/>
    </xf>
    <xf numFmtId="38" fontId="8" fillId="2" borderId="9" xfId="1" applyFont="1" applyFill="1" applyBorder="1" applyAlignment="1">
      <alignment horizontal="center" vertical="center"/>
    </xf>
    <xf numFmtId="38" fontId="12" fillId="0" borderId="14" xfId="1" applyFont="1" applyBorder="1" applyAlignment="1">
      <alignment horizontal="center" vertical="center"/>
    </xf>
    <xf numFmtId="38" fontId="12" fillId="0" borderId="15" xfId="1" applyFont="1" applyBorder="1" applyAlignment="1">
      <alignment horizontal="center" vertical="center"/>
    </xf>
    <xf numFmtId="38" fontId="12" fillId="0" borderId="12" xfId="1" applyFont="1" applyBorder="1" applyAlignment="1">
      <alignment horizontal="center" vertical="center"/>
    </xf>
    <xf numFmtId="38" fontId="12" fillId="0" borderId="33" xfId="0" applyNumberFormat="1" applyFont="1" applyBorder="1" applyAlignment="1">
      <alignment horizontal="center" vertical="center"/>
    </xf>
    <xf numFmtId="38" fontId="12" fillId="0" borderId="34" xfId="0" applyNumberFormat="1" applyFont="1" applyBorder="1" applyAlignment="1">
      <alignment horizontal="center" vertical="center"/>
    </xf>
    <xf numFmtId="38" fontId="12" fillId="0" borderId="11" xfId="0" applyNumberFormat="1" applyFont="1" applyBorder="1" applyAlignment="1">
      <alignment horizontal="center" vertical="center"/>
    </xf>
    <xf numFmtId="176" fontId="12" fillId="0" borderId="26" xfId="2" applyNumberFormat="1" applyFont="1" applyFill="1" applyBorder="1" applyAlignment="1">
      <alignment horizontal="center" vertical="center"/>
    </xf>
    <xf numFmtId="176" fontId="12" fillId="0" borderId="27" xfId="2" applyNumberFormat="1" applyFont="1" applyFill="1" applyBorder="1" applyAlignment="1">
      <alignment horizontal="center" vertical="center"/>
    </xf>
    <xf numFmtId="176" fontId="12" fillId="0" borderId="13" xfId="2" applyNumberFormat="1" applyFont="1" applyFill="1" applyBorder="1" applyAlignment="1">
      <alignment horizontal="center" vertical="center"/>
    </xf>
    <xf numFmtId="176" fontId="12" fillId="0" borderId="30" xfId="2" applyNumberFormat="1" applyFont="1" applyFill="1" applyBorder="1" applyAlignment="1">
      <alignment horizontal="center" vertical="center"/>
    </xf>
    <xf numFmtId="176" fontId="12" fillId="0" borderId="24" xfId="2" applyNumberFormat="1" applyFont="1" applyFill="1" applyBorder="1" applyAlignment="1">
      <alignment horizontal="center" vertical="center"/>
    </xf>
    <xf numFmtId="176" fontId="12" fillId="0" borderId="31" xfId="2" applyNumberFormat="1" applyFont="1" applyFill="1" applyBorder="1" applyAlignment="1">
      <alignment horizontal="center" vertical="center"/>
    </xf>
    <xf numFmtId="176" fontId="12" fillId="0" borderId="28" xfId="2" applyNumberFormat="1" applyFont="1" applyFill="1" applyBorder="1" applyAlignment="1">
      <alignment horizontal="center" vertical="center"/>
    </xf>
    <xf numFmtId="176" fontId="12" fillId="0" borderId="32" xfId="2" applyNumberFormat="1" applyFont="1" applyFill="1" applyBorder="1" applyAlignment="1">
      <alignment horizontal="center" vertical="center"/>
    </xf>
    <xf numFmtId="176" fontId="12" fillId="0" borderId="25" xfId="2" applyNumberFormat="1" applyFont="1" applyFill="1" applyBorder="1" applyAlignment="1">
      <alignment horizontal="center" vertical="center"/>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3" fillId="2" borderId="0" xfId="0" applyFont="1" applyFill="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38" fontId="3" fillId="2" borderId="47" xfId="1" applyFont="1" applyFill="1" applyBorder="1" applyAlignment="1">
      <alignment horizontal="center" vertical="center"/>
    </xf>
    <xf numFmtId="38" fontId="3" fillId="2" borderId="42" xfId="1" applyFont="1" applyFill="1" applyBorder="1" applyAlignment="1">
      <alignment horizontal="center" vertical="center"/>
    </xf>
    <xf numFmtId="0" fontId="3" fillId="0" borderId="36" xfId="0" applyFont="1" applyBorder="1" applyAlignment="1">
      <alignment horizontal="center" vertical="center"/>
    </xf>
    <xf numFmtId="0" fontId="3" fillId="0" borderId="46" xfId="0" applyFont="1" applyBorder="1" applyAlignment="1">
      <alignment horizontal="center" vertical="center"/>
    </xf>
    <xf numFmtId="38" fontId="3" fillId="0" borderId="5" xfId="1" applyFont="1" applyBorder="1" applyAlignment="1">
      <alignment horizontal="right" vertical="center"/>
    </xf>
    <xf numFmtId="38" fontId="3" fillId="0" borderId="45" xfId="1" applyFont="1" applyBorder="1" applyAlignment="1">
      <alignment horizontal="right" vertical="center"/>
    </xf>
    <xf numFmtId="0" fontId="9" fillId="0" borderId="8" xfId="0" applyFont="1" applyBorder="1" applyAlignment="1">
      <alignment horizontal="center" vertical="center"/>
    </xf>
    <xf numFmtId="0" fontId="9" fillId="0" borderId="4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roffice-ishikawa.com/inf_4_27.pdf"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roffice-ishikawa.com/inf_4_27.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447674</xdr:colOff>
      <xdr:row>20</xdr:row>
      <xdr:rowOff>133350</xdr:rowOff>
    </xdr:from>
    <xdr:to>
      <xdr:col>3</xdr:col>
      <xdr:colOff>1123949</xdr:colOff>
      <xdr:row>50</xdr:row>
      <xdr:rowOff>28575</xdr:rowOff>
    </xdr:to>
    <xdr:pic>
      <xdr:nvPicPr>
        <xdr:cNvPr id="3" name="図 2">
          <a:hlinkClick xmlns:r="http://schemas.openxmlformats.org/officeDocument/2006/relationships" r:id="rId1"/>
          <a:extLst>
            <a:ext uri="{FF2B5EF4-FFF2-40B4-BE49-F238E27FC236}">
              <a16:creationId xmlns:a16="http://schemas.microsoft.com/office/drawing/2014/main" id="{97D4E3DF-A841-E38D-6597-6B88B049BC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7674" y="7372350"/>
          <a:ext cx="4067175" cy="555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152399</xdr:colOff>
      <xdr:row>20</xdr:row>
      <xdr:rowOff>114299</xdr:rowOff>
    </xdr:from>
    <xdr:to>
      <xdr:col>3</xdr:col>
      <xdr:colOff>1187425</xdr:colOff>
      <xdr:row>50</xdr:row>
      <xdr:rowOff>114300</xdr:rowOff>
    </xdr:to>
    <xdr:pic>
      <xdr:nvPicPr>
        <xdr:cNvPr id="3" name="図 2">
          <a:hlinkClick xmlns:r="http://schemas.openxmlformats.org/officeDocument/2006/relationships" r:id="rId1"/>
          <a:extLst>
            <a:ext uri="{FF2B5EF4-FFF2-40B4-BE49-F238E27FC236}">
              <a16:creationId xmlns:a16="http://schemas.microsoft.com/office/drawing/2014/main" id="{ADF02CF6-DE67-9761-ECE3-F7BB499C3E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0074" y="7353299"/>
          <a:ext cx="3978251" cy="56388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5EDA7-4C9E-41B2-8402-0378DE959001}">
  <sheetPr>
    <pageSetUpPr fitToPage="1"/>
  </sheetPr>
  <dimension ref="B1:T54"/>
  <sheetViews>
    <sheetView tabSelected="1" topLeftCell="B4" zoomScaleNormal="100" workbookViewId="0">
      <selection activeCell="K23" sqref="K23"/>
    </sheetView>
  </sheetViews>
  <sheetFormatPr defaultRowHeight="13.5" x14ac:dyDescent="0.15"/>
  <cols>
    <col min="1" max="1" width="5.875" customWidth="1"/>
    <col min="2" max="2" width="21" customWidth="1"/>
    <col min="3" max="4" width="17.625" customWidth="1"/>
    <col min="5" max="5" width="27.875" customWidth="1"/>
    <col min="6" max="8" width="10.75" customWidth="1"/>
    <col min="9" max="9" width="14.5" bestFit="1" customWidth="1"/>
    <col min="10" max="10" width="14.25" customWidth="1"/>
    <col min="11" max="15" width="14.125" customWidth="1"/>
    <col min="16" max="17" width="14.5" customWidth="1"/>
    <col min="18" max="18" width="10.75" bestFit="1" customWidth="1"/>
  </cols>
  <sheetData>
    <row r="1" spans="2:20" ht="21" customHeight="1" x14ac:dyDescent="0.15">
      <c r="B1" s="79" t="s">
        <v>43</v>
      </c>
      <c r="C1" s="80"/>
      <c r="D1" s="80"/>
      <c r="E1" s="80"/>
      <c r="F1" s="80"/>
      <c r="G1" s="80"/>
      <c r="H1" s="80"/>
      <c r="I1" s="80"/>
      <c r="J1" s="80"/>
      <c r="K1" s="80"/>
      <c r="L1" s="80"/>
      <c r="M1" s="80"/>
      <c r="N1" s="80"/>
      <c r="O1" s="80"/>
      <c r="P1" s="80"/>
    </row>
    <row r="2" spans="2:20" ht="21" customHeight="1" thickBot="1" x14ac:dyDescent="0.2">
      <c r="B2" s="81"/>
      <c r="C2" s="81"/>
      <c r="D2" s="81"/>
      <c r="E2" s="81"/>
      <c r="F2" s="81"/>
      <c r="G2" s="81"/>
      <c r="H2" s="81"/>
      <c r="I2" s="81"/>
      <c r="J2" s="81"/>
      <c r="K2" s="81"/>
      <c r="L2" s="81"/>
      <c r="M2" s="81"/>
      <c r="N2" s="81"/>
      <c r="O2" s="81"/>
      <c r="P2" s="81"/>
    </row>
    <row r="3" spans="2:20" ht="54" customHeight="1" x14ac:dyDescent="0.15">
      <c r="B3" s="31" t="s">
        <v>36</v>
      </c>
      <c r="C3" s="82">
        <v>2400000</v>
      </c>
      <c r="D3" s="83"/>
      <c r="E3" s="15" t="s">
        <v>28</v>
      </c>
      <c r="F3" s="84" t="s">
        <v>5</v>
      </c>
      <c r="G3" s="85"/>
      <c r="H3" s="86"/>
      <c r="I3" s="93" t="s">
        <v>30</v>
      </c>
      <c r="J3" s="94"/>
      <c r="K3" s="99" t="s">
        <v>31</v>
      </c>
      <c r="L3" s="100"/>
      <c r="M3" s="99" t="s">
        <v>6</v>
      </c>
      <c r="N3" s="105"/>
      <c r="O3" s="106" t="s">
        <v>11</v>
      </c>
      <c r="P3" s="109" t="s">
        <v>12</v>
      </c>
    </row>
    <row r="4" spans="2:20" ht="33.75" customHeight="1" thickBot="1" x14ac:dyDescent="0.2">
      <c r="B4" s="11" t="s">
        <v>7</v>
      </c>
      <c r="C4" s="112">
        <f>ROUNDDOWN(C3/12,0)</f>
        <v>200000</v>
      </c>
      <c r="D4" s="113"/>
      <c r="E4" s="58">
        <v>490000</v>
      </c>
      <c r="F4" s="87"/>
      <c r="G4" s="88"/>
      <c r="H4" s="89"/>
      <c r="I4" s="95"/>
      <c r="J4" s="96"/>
      <c r="K4" s="101"/>
      <c r="L4" s="102"/>
      <c r="M4" s="114" t="s">
        <v>14</v>
      </c>
      <c r="N4" s="117" t="s">
        <v>13</v>
      </c>
      <c r="O4" s="107"/>
      <c r="P4" s="110"/>
    </row>
    <row r="5" spans="2:20" ht="45.6" customHeight="1" thickBot="1" x14ac:dyDescent="0.2">
      <c r="B5" s="28" t="s">
        <v>35</v>
      </c>
      <c r="C5" s="119">
        <v>510000</v>
      </c>
      <c r="D5" s="120"/>
      <c r="E5" s="57">
        <f>MAX(86070,MIN(494700,E4))</f>
        <v>490000</v>
      </c>
      <c r="F5" s="87"/>
      <c r="G5" s="88"/>
      <c r="H5" s="89"/>
      <c r="I5" s="97"/>
      <c r="J5" s="98"/>
      <c r="K5" s="103"/>
      <c r="L5" s="104"/>
      <c r="M5" s="114"/>
      <c r="N5" s="117"/>
      <c r="O5" s="107"/>
      <c r="P5" s="110"/>
    </row>
    <row r="6" spans="2:20" ht="60.75" customHeight="1" thickBot="1" x14ac:dyDescent="0.2">
      <c r="B6" s="35" t="s">
        <v>47</v>
      </c>
      <c r="C6" s="24" t="s">
        <v>8</v>
      </c>
      <c r="D6" s="1" t="s">
        <v>9</v>
      </c>
      <c r="E6" s="27" t="s">
        <v>23</v>
      </c>
      <c r="F6" s="90"/>
      <c r="G6" s="91"/>
      <c r="H6" s="92"/>
      <c r="I6" s="13" t="s">
        <v>0</v>
      </c>
      <c r="J6" s="14" t="s">
        <v>15</v>
      </c>
      <c r="K6" s="16" t="s">
        <v>1</v>
      </c>
      <c r="L6" s="1" t="s">
        <v>10</v>
      </c>
      <c r="M6" s="115"/>
      <c r="N6" s="118"/>
      <c r="O6" s="108"/>
      <c r="P6" s="111"/>
    </row>
    <row r="7" spans="2:20" s="2" customFormat="1" ht="18" customHeight="1" thickBot="1" x14ac:dyDescent="0.2">
      <c r="B7" s="55">
        <f>IF(K22&lt;=376750,K22,0)</f>
        <v>320000</v>
      </c>
      <c r="C7" s="121">
        <f>MAX(($C$4+B9-$C$5)*1/2,0)</f>
        <v>72000</v>
      </c>
      <c r="D7" s="124">
        <f t="shared" ref="D7" si="0">$C$4-C7</f>
        <v>128000</v>
      </c>
      <c r="E7" s="127">
        <f>$B$7/$E$5*100</f>
        <v>65.306122448979593</v>
      </c>
      <c r="F7" s="130" t="s">
        <v>19</v>
      </c>
      <c r="G7" s="131"/>
      <c r="H7" s="4" t="str">
        <f>IF($E$7&lt;75,"　",IF($E$7&gt;=75,"〇"))</f>
        <v>　</v>
      </c>
      <c r="I7" s="61" t="b">
        <f>IF($H$7="〇",R7)</f>
        <v>0</v>
      </c>
      <c r="J7" s="5">
        <f>IF(L22&gt;2295,L22,0)</f>
        <v>0</v>
      </c>
      <c r="K7" s="61" t="b">
        <f>IF($H$7="〇",T7)</f>
        <v>0</v>
      </c>
      <c r="L7" s="5">
        <f>ROUNDDOWN($H$22*K7,0)</f>
        <v>0</v>
      </c>
      <c r="M7" s="66">
        <f>IF(M22&gt;376750,376750,M22)</f>
        <v>320000</v>
      </c>
      <c r="N7" s="6">
        <f>M7/$E$4</f>
        <v>0.65306122448979587</v>
      </c>
      <c r="O7" s="17">
        <f>$D$7-L7</f>
        <v>128000</v>
      </c>
      <c r="P7" s="18">
        <f>M7+O7</f>
        <v>448000</v>
      </c>
      <c r="R7" s="25">
        <f>0/100</f>
        <v>0</v>
      </c>
      <c r="T7" s="25">
        <f>0/100</f>
        <v>0</v>
      </c>
    </row>
    <row r="8" spans="2:20" s="2" customFormat="1" ht="18" customHeight="1" x14ac:dyDescent="0.15">
      <c r="B8" s="32" t="s">
        <v>24</v>
      </c>
      <c r="C8" s="122"/>
      <c r="D8" s="125"/>
      <c r="E8" s="128"/>
      <c r="F8" s="132" t="s">
        <v>33</v>
      </c>
      <c r="G8" s="133"/>
      <c r="H8" s="7" t="str">
        <f>IF(AND($E$7&gt;64,$E$7&lt;75),"〇","　")</f>
        <v>〇</v>
      </c>
      <c r="I8" s="62">
        <f>IF($H$8="〇",R8)</f>
        <v>8.6400000000000005E-2</v>
      </c>
      <c r="J8" s="3">
        <f t="shared" ref="J8:J9" si="1">IF(L23&gt;2295,L23,0)</f>
        <v>27648</v>
      </c>
      <c r="K8" s="62">
        <f>IF($H$8="〇",T8)</f>
        <v>3.4500000000000003E-2</v>
      </c>
      <c r="L8" s="3">
        <f t="shared" ref="L8:L9" si="2">ROUNDDOWN($H$22*K8,0)</f>
        <v>11040</v>
      </c>
      <c r="M8" s="67">
        <f t="shared" ref="M8:M9" si="3">IF(M23&gt;376750,376750,M23)</f>
        <v>347648</v>
      </c>
      <c r="N8" s="8">
        <f t="shared" ref="N8:N9" si="4">M8/$E$4</f>
        <v>0.70948571428571428</v>
      </c>
      <c r="O8" s="19">
        <f t="shared" ref="O8:O9" si="5">$D$7-L8</f>
        <v>116960</v>
      </c>
      <c r="P8" s="20">
        <f>M8+O8</f>
        <v>464608</v>
      </c>
      <c r="R8" s="26">
        <f>ROUND(((-64*$E$7)+4800)/110*100/$E$7,2)/100</f>
        <v>8.6400000000000005E-2</v>
      </c>
      <c r="T8" s="26">
        <f>ROUND(((-64*$E$7)+4800)/110*100/$E$7*4/10,2)/100</f>
        <v>3.4500000000000003E-2</v>
      </c>
    </row>
    <row r="9" spans="2:20" s="2" customFormat="1" ht="18" customHeight="1" thickBot="1" x14ac:dyDescent="0.2">
      <c r="B9" s="55">
        <f>I29</f>
        <v>454000</v>
      </c>
      <c r="C9" s="123"/>
      <c r="D9" s="126"/>
      <c r="E9" s="129"/>
      <c r="F9" s="134" t="s">
        <v>34</v>
      </c>
      <c r="G9" s="135"/>
      <c r="H9" s="9" t="str">
        <f>IF($E$7&lt;=64,"〇",IF($E$7&gt;64,"　"))</f>
        <v>　</v>
      </c>
      <c r="I9" s="63" t="b">
        <f>IF($H$9="〇",R9)</f>
        <v>0</v>
      </c>
      <c r="J9" s="23">
        <f t="shared" si="1"/>
        <v>0</v>
      </c>
      <c r="K9" s="63" t="b">
        <f>IF($H$9="〇",T9)</f>
        <v>0</v>
      </c>
      <c r="L9" s="59">
        <f t="shared" si="2"/>
        <v>0</v>
      </c>
      <c r="M9" s="65">
        <f t="shared" si="3"/>
        <v>320000</v>
      </c>
      <c r="N9" s="10">
        <f t="shared" si="4"/>
        <v>0.65306122448979587</v>
      </c>
      <c r="O9" s="21">
        <f t="shared" si="5"/>
        <v>128000</v>
      </c>
      <c r="P9" s="22">
        <f>M9+O9</f>
        <v>448000</v>
      </c>
      <c r="R9" s="25">
        <f>10/100</f>
        <v>0.1</v>
      </c>
      <c r="T9" s="25">
        <f>4/100</f>
        <v>0.04</v>
      </c>
    </row>
    <row r="10" spans="2:20" ht="30" customHeight="1" x14ac:dyDescent="0.15">
      <c r="B10" s="12" t="s">
        <v>2</v>
      </c>
      <c r="C10" s="136" t="s">
        <v>29</v>
      </c>
      <c r="D10" s="136"/>
      <c r="E10" s="136"/>
      <c r="F10" s="136"/>
      <c r="G10" s="136"/>
      <c r="H10" s="136"/>
      <c r="I10" s="136"/>
      <c r="J10" s="136"/>
      <c r="K10" s="136"/>
      <c r="L10" s="136"/>
      <c r="M10" s="136"/>
      <c r="N10" s="136"/>
      <c r="O10" s="136"/>
      <c r="P10" s="136"/>
    </row>
    <row r="11" spans="2:20" ht="30" customHeight="1" x14ac:dyDescent="0.15">
      <c r="B11" s="12" t="s">
        <v>4</v>
      </c>
      <c r="C11" s="137" t="s">
        <v>53</v>
      </c>
      <c r="D11" s="74"/>
      <c r="E11" s="74"/>
      <c r="F11" s="74"/>
      <c r="G11" s="74"/>
      <c r="H11" s="74"/>
      <c r="I11" s="74"/>
      <c r="J11" s="74"/>
      <c r="K11" s="74"/>
      <c r="L11" s="74"/>
      <c r="M11" s="74"/>
      <c r="N11" s="74"/>
      <c r="O11" s="74"/>
      <c r="P11" s="74"/>
    </row>
    <row r="12" spans="2:20" ht="30" customHeight="1" x14ac:dyDescent="0.15">
      <c r="B12" s="12" t="s">
        <v>3</v>
      </c>
      <c r="C12" s="137" t="s">
        <v>22</v>
      </c>
      <c r="D12" s="137"/>
      <c r="E12" s="137"/>
      <c r="F12" s="137"/>
      <c r="G12" s="137"/>
      <c r="H12" s="137"/>
      <c r="I12" s="137"/>
      <c r="J12" s="137"/>
      <c r="K12" s="137"/>
      <c r="L12" s="137"/>
      <c r="M12" s="137"/>
      <c r="N12" s="137"/>
      <c r="O12" s="137"/>
      <c r="P12" s="137"/>
    </row>
    <row r="13" spans="2:20" ht="30" customHeight="1" x14ac:dyDescent="0.15">
      <c r="B13" s="12" t="s">
        <v>16</v>
      </c>
      <c r="C13" s="137" t="s">
        <v>54</v>
      </c>
      <c r="D13" s="137"/>
      <c r="E13" s="137"/>
      <c r="F13" s="137"/>
      <c r="G13" s="137"/>
      <c r="H13" s="137"/>
      <c r="I13" s="137"/>
      <c r="J13" s="137"/>
      <c r="K13" s="137"/>
      <c r="L13" s="137"/>
      <c r="M13" s="137"/>
      <c r="N13" s="137"/>
      <c r="O13" s="137"/>
      <c r="P13" s="137"/>
    </row>
    <row r="14" spans="2:20" ht="30" customHeight="1" x14ac:dyDescent="0.15">
      <c r="B14" s="12" t="s">
        <v>17</v>
      </c>
      <c r="C14" s="137" t="s">
        <v>55</v>
      </c>
      <c r="D14" s="137"/>
      <c r="E14" s="137"/>
      <c r="F14" s="137"/>
      <c r="G14" s="137"/>
      <c r="H14" s="137"/>
      <c r="I14" s="137"/>
      <c r="J14" s="137"/>
      <c r="K14" s="137"/>
      <c r="L14" s="137"/>
      <c r="M14" s="137"/>
      <c r="N14" s="137"/>
      <c r="O14" s="137"/>
      <c r="P14" s="137"/>
    </row>
    <row r="15" spans="2:20" ht="30" customHeight="1" x14ac:dyDescent="0.15">
      <c r="B15" s="12" t="s">
        <v>18</v>
      </c>
      <c r="C15" s="116" t="s">
        <v>56</v>
      </c>
      <c r="D15" s="116"/>
      <c r="E15" s="116"/>
      <c r="F15" s="116"/>
      <c r="G15" s="116"/>
      <c r="H15" s="116"/>
      <c r="I15" s="116"/>
      <c r="J15" s="116"/>
      <c r="K15" s="116"/>
      <c r="L15" s="116"/>
      <c r="M15" s="116"/>
      <c r="N15" s="116"/>
      <c r="O15" s="116"/>
      <c r="P15" s="116"/>
    </row>
    <row r="16" spans="2:20" ht="30" customHeight="1" x14ac:dyDescent="0.15">
      <c r="B16" s="138" t="s">
        <v>26</v>
      </c>
      <c r="C16" s="139" t="s">
        <v>62</v>
      </c>
      <c r="D16" s="139"/>
      <c r="E16" s="139"/>
      <c r="F16" s="139"/>
      <c r="G16" s="139"/>
      <c r="H16" s="139"/>
      <c r="I16" s="139"/>
      <c r="J16" s="139"/>
      <c r="K16" s="139"/>
      <c r="L16" s="139"/>
      <c r="M16" s="139"/>
      <c r="N16" s="139"/>
      <c r="O16" s="139"/>
      <c r="P16" s="139"/>
    </row>
    <row r="17" spans="2:18" ht="30" customHeight="1" x14ac:dyDescent="0.15">
      <c r="B17" s="138"/>
      <c r="C17" s="139"/>
      <c r="D17" s="139"/>
      <c r="E17" s="139"/>
      <c r="F17" s="139"/>
      <c r="G17" s="139"/>
      <c r="H17" s="139"/>
      <c r="I17" s="139"/>
      <c r="J17" s="139"/>
      <c r="K17" s="139"/>
      <c r="L17" s="139"/>
      <c r="M17" s="139"/>
      <c r="N17" s="139"/>
      <c r="O17" s="139"/>
      <c r="P17" s="139"/>
    </row>
    <row r="18" spans="2:18" ht="13.15" customHeight="1" x14ac:dyDescent="0.15">
      <c r="B18" s="138" t="s">
        <v>27</v>
      </c>
      <c r="C18" s="139" t="s">
        <v>61</v>
      </c>
      <c r="D18" s="139"/>
      <c r="E18" s="139"/>
      <c r="F18" s="139"/>
      <c r="G18" s="139"/>
      <c r="H18" s="139"/>
      <c r="I18" s="139"/>
      <c r="J18" s="139"/>
      <c r="K18" s="139"/>
      <c r="L18" s="139"/>
      <c r="M18" s="139"/>
      <c r="N18" s="139"/>
      <c r="O18" s="139"/>
      <c r="P18" s="139"/>
    </row>
    <row r="19" spans="2:18" x14ac:dyDescent="0.15">
      <c r="B19" s="138"/>
      <c r="C19" s="139"/>
      <c r="D19" s="139"/>
      <c r="E19" s="139"/>
      <c r="F19" s="139"/>
      <c r="G19" s="139"/>
      <c r="H19" s="139"/>
      <c r="I19" s="139"/>
      <c r="J19" s="139"/>
      <c r="K19" s="139"/>
      <c r="L19" s="139"/>
      <c r="M19" s="139"/>
      <c r="N19" s="139"/>
      <c r="O19" s="139"/>
      <c r="P19" s="139"/>
    </row>
    <row r="20" spans="2:18" ht="14.25" thickBot="1" x14ac:dyDescent="0.2">
      <c r="B20" s="138"/>
      <c r="C20" s="139"/>
      <c r="D20" s="139"/>
      <c r="E20" s="139"/>
      <c r="F20" s="139"/>
      <c r="G20" s="139"/>
      <c r="H20" s="139"/>
      <c r="I20" s="139"/>
      <c r="J20" s="139"/>
      <c r="K20" s="139"/>
      <c r="L20" s="139"/>
      <c r="M20" s="139"/>
      <c r="N20" s="139"/>
      <c r="O20" s="139"/>
      <c r="P20" s="139"/>
    </row>
    <row r="21" spans="2:18" ht="50.25" customHeight="1" thickBot="1" x14ac:dyDescent="0.2">
      <c r="B21" s="12"/>
      <c r="C21" s="29"/>
      <c r="D21" s="29"/>
      <c r="E21" s="140" t="s">
        <v>48</v>
      </c>
      <c r="F21" s="141"/>
      <c r="G21" s="69" t="s">
        <v>59</v>
      </c>
      <c r="H21" s="45" t="s">
        <v>41</v>
      </c>
      <c r="I21" s="45" t="s">
        <v>58</v>
      </c>
      <c r="J21" s="1" t="s">
        <v>42</v>
      </c>
      <c r="K21" s="68" t="s">
        <v>49</v>
      </c>
      <c r="L21" s="68" t="s">
        <v>50</v>
      </c>
      <c r="M21" s="68" t="s">
        <v>51</v>
      </c>
      <c r="N21" s="29"/>
      <c r="O21" s="29"/>
      <c r="P21" s="29"/>
    </row>
    <row r="22" spans="2:18" x14ac:dyDescent="0.15">
      <c r="B22" s="12"/>
      <c r="C22" s="34"/>
      <c r="D22" s="34"/>
      <c r="E22" s="54" t="s">
        <v>45</v>
      </c>
      <c r="F22" s="43" t="s">
        <v>38</v>
      </c>
      <c r="G22" s="52">
        <v>3</v>
      </c>
      <c r="H22" s="142">
        <v>320000</v>
      </c>
      <c r="I22" s="143"/>
      <c r="J22" s="44"/>
      <c r="K22" s="64">
        <v>320000</v>
      </c>
      <c r="L22" s="34">
        <f>ROUNDDOWN($B$7*I7,0)</f>
        <v>0</v>
      </c>
      <c r="M22" s="60">
        <f>$B$7+J7</f>
        <v>320000</v>
      </c>
      <c r="N22" s="34"/>
      <c r="O22" s="34"/>
      <c r="P22" s="34"/>
      <c r="Q22" s="34">
        <v>1</v>
      </c>
      <c r="R22" s="33">
        <v>88000</v>
      </c>
    </row>
    <row r="23" spans="2:18" x14ac:dyDescent="0.15">
      <c r="E23" s="30" t="s">
        <v>37</v>
      </c>
      <c r="F23" s="144" t="s">
        <v>44</v>
      </c>
      <c r="G23" s="40"/>
      <c r="H23" s="41">
        <v>755555</v>
      </c>
      <c r="I23" s="42">
        <f>MIN((ROUNDDOWN(H23,-3)),$J$23)</f>
        <v>755000</v>
      </c>
      <c r="J23" s="146">
        <v>1500000</v>
      </c>
      <c r="L23" s="33">
        <f t="shared" ref="L23:L24" si="6">ROUNDDOWN($B$7*I8,0)</f>
        <v>27648</v>
      </c>
      <c r="M23" s="60">
        <f t="shared" ref="M23:M24" si="7">$B$7+J8</f>
        <v>347648</v>
      </c>
      <c r="Q23" s="34">
        <f t="shared" ref="Q23:Q53" si="8">Q22+1</f>
        <v>2</v>
      </c>
      <c r="R23" s="33">
        <f>R22+10000</f>
        <v>98000</v>
      </c>
    </row>
    <row r="24" spans="2:18" x14ac:dyDescent="0.15">
      <c r="E24" s="30" t="s">
        <v>37</v>
      </c>
      <c r="F24" s="144"/>
      <c r="G24" s="40"/>
      <c r="H24" s="41">
        <v>855555</v>
      </c>
      <c r="I24" s="42">
        <f t="shared" ref="I24:I28" si="9">MIN((ROUNDDOWN(H24,-3)),$J$23)</f>
        <v>855000</v>
      </c>
      <c r="J24" s="146"/>
      <c r="L24" s="33">
        <f t="shared" si="6"/>
        <v>0</v>
      </c>
      <c r="M24" s="60">
        <f t="shared" si="7"/>
        <v>320000</v>
      </c>
      <c r="Q24" s="34">
        <f t="shared" si="8"/>
        <v>3</v>
      </c>
      <c r="R24" s="33">
        <f>R23+6000</f>
        <v>104000</v>
      </c>
    </row>
    <row r="25" spans="2:18" x14ac:dyDescent="0.15">
      <c r="E25" s="30" t="s">
        <v>37</v>
      </c>
      <c r="F25" s="144"/>
      <c r="G25" s="40"/>
      <c r="H25" s="41">
        <v>0</v>
      </c>
      <c r="I25" s="42">
        <f t="shared" si="9"/>
        <v>0</v>
      </c>
      <c r="J25" s="146"/>
      <c r="Q25" s="34">
        <f t="shared" si="8"/>
        <v>4</v>
      </c>
      <c r="R25" s="33">
        <f>R24+6000</f>
        <v>110000</v>
      </c>
    </row>
    <row r="26" spans="2:18" x14ac:dyDescent="0.15">
      <c r="E26" s="30" t="s">
        <v>37</v>
      </c>
      <c r="F26" s="144"/>
      <c r="G26" s="51"/>
      <c r="H26" s="41">
        <v>0</v>
      </c>
      <c r="I26" s="42">
        <f t="shared" si="9"/>
        <v>0</v>
      </c>
      <c r="J26" s="146"/>
      <c r="Q26" s="34">
        <f t="shared" si="8"/>
        <v>5</v>
      </c>
      <c r="R26" s="33">
        <f>R25+8000</f>
        <v>118000</v>
      </c>
    </row>
    <row r="27" spans="2:18" x14ac:dyDescent="0.15">
      <c r="E27" s="30" t="s">
        <v>37</v>
      </c>
      <c r="F27" s="144"/>
      <c r="G27" s="51"/>
      <c r="H27" s="41">
        <v>0</v>
      </c>
      <c r="I27" s="42">
        <f t="shared" si="9"/>
        <v>0</v>
      </c>
      <c r="J27" s="146"/>
      <c r="Q27" s="34">
        <f t="shared" si="8"/>
        <v>6</v>
      </c>
      <c r="R27" s="33">
        <f t="shared" ref="R27:R30" si="10">R26+8000</f>
        <v>126000</v>
      </c>
    </row>
    <row r="28" spans="2:18" ht="14.25" thickBot="1" x14ac:dyDescent="0.2">
      <c r="E28" s="46" t="s">
        <v>37</v>
      </c>
      <c r="F28" s="145"/>
      <c r="G28" s="53"/>
      <c r="H28" s="47">
        <v>0</v>
      </c>
      <c r="I28" s="48">
        <f t="shared" si="9"/>
        <v>0</v>
      </c>
      <c r="J28" s="147"/>
      <c r="Q28" s="34">
        <f t="shared" si="8"/>
        <v>7</v>
      </c>
      <c r="R28" s="33">
        <f t="shared" si="10"/>
        <v>134000</v>
      </c>
    </row>
    <row r="29" spans="2:18" ht="15" thickBot="1" x14ac:dyDescent="0.2">
      <c r="E29" s="148" t="s">
        <v>39</v>
      </c>
      <c r="F29" s="149"/>
      <c r="G29" s="149"/>
      <c r="H29" s="149"/>
      <c r="I29" s="49">
        <f>(ROUNDDOWN(SUM(I23:I28)/12,-3))+H22</f>
        <v>454000</v>
      </c>
      <c r="J29" s="50" t="s">
        <v>46</v>
      </c>
      <c r="Q29" s="34">
        <f t="shared" si="8"/>
        <v>8</v>
      </c>
      <c r="R29" s="33">
        <f t="shared" si="10"/>
        <v>142000</v>
      </c>
    </row>
    <row r="30" spans="2:18" ht="13.5" customHeight="1" x14ac:dyDescent="0.15">
      <c r="G30" s="136" t="s">
        <v>40</v>
      </c>
      <c r="H30" s="136"/>
      <c r="I30" s="136"/>
      <c r="J30" s="137" t="s">
        <v>60</v>
      </c>
      <c r="K30" s="137"/>
      <c r="L30" s="74" t="s">
        <v>52</v>
      </c>
      <c r="M30" s="74"/>
      <c r="Q30" s="34">
        <f t="shared" si="8"/>
        <v>9</v>
      </c>
      <c r="R30" s="33">
        <f t="shared" si="10"/>
        <v>150000</v>
      </c>
    </row>
    <row r="31" spans="2:18" x14ac:dyDescent="0.15">
      <c r="F31" s="34"/>
      <c r="G31" s="137"/>
      <c r="H31" s="137"/>
      <c r="I31" s="137"/>
      <c r="J31" s="137"/>
      <c r="K31" s="137"/>
      <c r="L31" s="74"/>
      <c r="M31" s="74"/>
      <c r="Q31" s="34">
        <f t="shared" si="8"/>
        <v>10</v>
      </c>
      <c r="R31" s="33">
        <f>R30+10000</f>
        <v>160000</v>
      </c>
    </row>
    <row r="32" spans="2:18" x14ac:dyDescent="0.15">
      <c r="F32" s="34"/>
      <c r="G32" s="137"/>
      <c r="H32" s="137"/>
      <c r="I32" s="137"/>
      <c r="J32" s="137"/>
      <c r="K32" s="137"/>
      <c r="L32" s="74"/>
      <c r="M32" s="74"/>
      <c r="Q32" s="34">
        <f t="shared" si="8"/>
        <v>11</v>
      </c>
      <c r="R32" s="33">
        <f t="shared" ref="R32:R35" si="11">R31+10000</f>
        <v>170000</v>
      </c>
    </row>
    <row r="33" spans="5:18" x14ac:dyDescent="0.15">
      <c r="F33" s="34"/>
      <c r="G33" s="137"/>
      <c r="H33" s="137"/>
      <c r="I33" s="137"/>
      <c r="J33" s="137"/>
      <c r="K33" s="137"/>
      <c r="L33" s="74"/>
      <c r="M33" s="74"/>
      <c r="Q33" s="34">
        <f t="shared" si="8"/>
        <v>12</v>
      </c>
      <c r="R33" s="33">
        <f t="shared" si="11"/>
        <v>180000</v>
      </c>
    </row>
    <row r="34" spans="5:18" x14ac:dyDescent="0.15">
      <c r="F34" s="39"/>
      <c r="G34" s="137"/>
      <c r="H34" s="137"/>
      <c r="I34" s="137"/>
      <c r="J34" s="137"/>
      <c r="K34" s="137"/>
      <c r="L34" s="74"/>
      <c r="M34" s="74"/>
      <c r="Q34" s="34">
        <f t="shared" si="8"/>
        <v>13</v>
      </c>
      <c r="R34" s="33">
        <f t="shared" si="11"/>
        <v>190000</v>
      </c>
    </row>
    <row r="35" spans="5:18" ht="14.25" thickBot="1" x14ac:dyDescent="0.2">
      <c r="E35" s="34" t="s">
        <v>65</v>
      </c>
      <c r="F35" s="36"/>
      <c r="G35" s="39"/>
      <c r="I35" s="38"/>
      <c r="Q35" s="34">
        <f t="shared" si="8"/>
        <v>14</v>
      </c>
      <c r="R35" s="33">
        <f t="shared" si="11"/>
        <v>200000</v>
      </c>
    </row>
    <row r="36" spans="5:18" x14ac:dyDescent="0.15">
      <c r="E36" s="70" t="s">
        <v>64</v>
      </c>
      <c r="F36" s="71"/>
      <c r="G36" s="71"/>
      <c r="H36" s="71"/>
      <c r="I36" s="71"/>
      <c r="J36" s="72"/>
      <c r="Q36" s="34">
        <f t="shared" si="8"/>
        <v>15</v>
      </c>
      <c r="R36" s="33">
        <f>R35+20000</f>
        <v>220000</v>
      </c>
    </row>
    <row r="37" spans="5:18" x14ac:dyDescent="0.15">
      <c r="E37" s="73"/>
      <c r="F37" s="74"/>
      <c r="G37" s="74"/>
      <c r="H37" s="74"/>
      <c r="I37" s="74"/>
      <c r="J37" s="75"/>
      <c r="Q37" s="34">
        <f t="shared" si="8"/>
        <v>16</v>
      </c>
      <c r="R37" s="33">
        <f t="shared" ref="R37:R44" si="12">R36+20000</f>
        <v>240000</v>
      </c>
    </row>
    <row r="38" spans="5:18" x14ac:dyDescent="0.15">
      <c r="E38" s="73"/>
      <c r="F38" s="74"/>
      <c r="G38" s="74"/>
      <c r="H38" s="74"/>
      <c r="I38" s="74"/>
      <c r="J38" s="75"/>
      <c r="Q38" s="34">
        <f t="shared" si="8"/>
        <v>17</v>
      </c>
      <c r="R38" s="33">
        <f t="shared" si="12"/>
        <v>260000</v>
      </c>
    </row>
    <row r="39" spans="5:18" x14ac:dyDescent="0.15">
      <c r="E39" s="73"/>
      <c r="F39" s="74"/>
      <c r="G39" s="74"/>
      <c r="H39" s="74"/>
      <c r="I39" s="74"/>
      <c r="J39" s="75"/>
      <c r="Q39" s="34">
        <f t="shared" si="8"/>
        <v>18</v>
      </c>
      <c r="R39" s="33">
        <f t="shared" si="12"/>
        <v>280000</v>
      </c>
    </row>
    <row r="40" spans="5:18" x14ac:dyDescent="0.15">
      <c r="E40" s="73"/>
      <c r="F40" s="74"/>
      <c r="G40" s="74"/>
      <c r="H40" s="74"/>
      <c r="I40" s="74"/>
      <c r="J40" s="75"/>
      <c r="Q40" s="34">
        <f t="shared" si="8"/>
        <v>19</v>
      </c>
      <c r="R40" s="33">
        <f t="shared" si="12"/>
        <v>300000</v>
      </c>
    </row>
    <row r="41" spans="5:18" x14ac:dyDescent="0.15">
      <c r="E41" s="73"/>
      <c r="F41" s="74"/>
      <c r="G41" s="74"/>
      <c r="H41" s="74"/>
      <c r="I41" s="74"/>
      <c r="J41" s="75"/>
      <c r="Q41" s="34">
        <f t="shared" si="8"/>
        <v>20</v>
      </c>
      <c r="R41" s="33">
        <f t="shared" si="12"/>
        <v>320000</v>
      </c>
    </row>
    <row r="42" spans="5:18" ht="14.25" thickBot="1" x14ac:dyDescent="0.2">
      <c r="E42" s="76"/>
      <c r="F42" s="77"/>
      <c r="G42" s="77"/>
      <c r="H42" s="77"/>
      <c r="I42" s="77"/>
      <c r="J42" s="78"/>
      <c r="Q42" s="34">
        <f t="shared" si="8"/>
        <v>21</v>
      </c>
      <c r="R42" s="33">
        <f t="shared" si="12"/>
        <v>340000</v>
      </c>
    </row>
    <row r="43" spans="5:18" x14ac:dyDescent="0.15">
      <c r="Q43" s="34">
        <f t="shared" si="8"/>
        <v>22</v>
      </c>
      <c r="R43" s="33">
        <f t="shared" si="12"/>
        <v>360000</v>
      </c>
    </row>
    <row r="44" spans="5:18" x14ac:dyDescent="0.15">
      <c r="Q44" s="34">
        <f t="shared" si="8"/>
        <v>23</v>
      </c>
      <c r="R44" s="33">
        <f t="shared" si="12"/>
        <v>380000</v>
      </c>
    </row>
    <row r="45" spans="5:18" x14ac:dyDescent="0.15">
      <c r="Q45" s="34">
        <f t="shared" si="8"/>
        <v>24</v>
      </c>
      <c r="R45" s="33">
        <f>R44+30000</f>
        <v>410000</v>
      </c>
    </row>
    <row r="46" spans="5:18" x14ac:dyDescent="0.15">
      <c r="Q46" s="34">
        <f t="shared" si="8"/>
        <v>25</v>
      </c>
      <c r="R46" s="33">
        <f t="shared" ref="R46:R53" si="13">R45+30000</f>
        <v>440000</v>
      </c>
    </row>
    <row r="47" spans="5:18" x14ac:dyDescent="0.15">
      <c r="Q47" s="34">
        <f t="shared" si="8"/>
        <v>26</v>
      </c>
      <c r="R47" s="33">
        <f t="shared" si="13"/>
        <v>470000</v>
      </c>
    </row>
    <row r="48" spans="5:18" x14ac:dyDescent="0.15">
      <c r="Q48" s="34">
        <f t="shared" si="8"/>
        <v>27</v>
      </c>
      <c r="R48" s="33">
        <f t="shared" si="13"/>
        <v>500000</v>
      </c>
    </row>
    <row r="49" spans="17:18" x14ac:dyDescent="0.15">
      <c r="Q49" s="34">
        <f t="shared" si="8"/>
        <v>28</v>
      </c>
      <c r="R49" s="33">
        <f t="shared" si="13"/>
        <v>530000</v>
      </c>
    </row>
    <row r="50" spans="17:18" x14ac:dyDescent="0.15">
      <c r="Q50" s="34">
        <f t="shared" si="8"/>
        <v>29</v>
      </c>
      <c r="R50" s="33">
        <f t="shared" si="13"/>
        <v>560000</v>
      </c>
    </row>
    <row r="51" spans="17:18" x14ac:dyDescent="0.15">
      <c r="Q51" s="34">
        <f t="shared" si="8"/>
        <v>30</v>
      </c>
      <c r="R51" s="33">
        <f t="shared" si="13"/>
        <v>590000</v>
      </c>
    </row>
    <row r="52" spans="17:18" x14ac:dyDescent="0.15">
      <c r="Q52" s="34">
        <f t="shared" si="8"/>
        <v>31</v>
      </c>
      <c r="R52" s="33">
        <f t="shared" si="13"/>
        <v>620000</v>
      </c>
    </row>
    <row r="53" spans="17:18" x14ac:dyDescent="0.15">
      <c r="Q53" s="34">
        <f t="shared" si="8"/>
        <v>32</v>
      </c>
      <c r="R53" s="33">
        <f t="shared" si="13"/>
        <v>650000</v>
      </c>
    </row>
    <row r="54" spans="17:18" x14ac:dyDescent="0.15">
      <c r="Q54" s="34"/>
    </row>
  </sheetData>
  <mergeCells count="37">
    <mergeCell ref="B16:B17"/>
    <mergeCell ref="C16:P17"/>
    <mergeCell ref="E21:F21"/>
    <mergeCell ref="H22:I22"/>
    <mergeCell ref="C18:P20"/>
    <mergeCell ref="B18:B20"/>
    <mergeCell ref="C11:P11"/>
    <mergeCell ref="C12:P12"/>
    <mergeCell ref="C13:P13"/>
    <mergeCell ref="C14:P14"/>
    <mergeCell ref="L30:M34"/>
    <mergeCell ref="F23:F28"/>
    <mergeCell ref="J23:J28"/>
    <mergeCell ref="E29:H29"/>
    <mergeCell ref="G30:I34"/>
    <mergeCell ref="J30:K34"/>
    <mergeCell ref="E7:E9"/>
    <mergeCell ref="F7:G7"/>
    <mergeCell ref="F8:G8"/>
    <mergeCell ref="F9:G9"/>
    <mergeCell ref="C10:P10"/>
    <mergeCell ref="E36:J42"/>
    <mergeCell ref="B1:P2"/>
    <mergeCell ref="C3:D3"/>
    <mergeCell ref="F3:H6"/>
    <mergeCell ref="I3:J5"/>
    <mergeCell ref="K3:L5"/>
    <mergeCell ref="M3:N3"/>
    <mergeCell ref="O3:O6"/>
    <mergeCell ref="P3:P6"/>
    <mergeCell ref="C4:D4"/>
    <mergeCell ref="M4:M6"/>
    <mergeCell ref="C15:P15"/>
    <mergeCell ref="N4:N6"/>
    <mergeCell ref="C5:D5"/>
    <mergeCell ref="C7:C9"/>
    <mergeCell ref="D7:D9"/>
  </mergeCells>
  <phoneticPr fontId="2"/>
  <dataValidations count="2">
    <dataValidation type="list" allowBlank="1" showInputMessage="1" showErrorMessage="1" sqref="G22" xr:uid="{A8A61E0D-B4EB-4DC3-9120-EFF166EBF7BB}">
      <formula1>$Q$22:$Q$33</formula1>
    </dataValidation>
    <dataValidation type="list" allowBlank="1" showInputMessage="1" showErrorMessage="1" sqref="H22" xr:uid="{D68B1A4A-AD31-47F3-9605-F9E4147ADC5E}">
      <formula1>$R$22:$R$53</formula1>
    </dataValidation>
  </dataValidations>
  <pageMargins left="0.25" right="0.25" top="0.75" bottom="0.75" header="0.3" footer="0.3"/>
  <pageSetup paperSize="9" scale="51" orientation="landscape" horizontalDpi="4294967293" verticalDpi="0" r:id="rId1"/>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60BEF-3B79-4AA8-9074-52367799CB93}">
  <sheetPr>
    <pageSetUpPr fitToPage="1"/>
  </sheetPr>
  <dimension ref="B1:T54"/>
  <sheetViews>
    <sheetView topLeftCell="A19" zoomScaleNormal="100" workbookViewId="0">
      <selection activeCell="E35" sqref="E35"/>
    </sheetView>
  </sheetViews>
  <sheetFormatPr defaultRowHeight="13.5" x14ac:dyDescent="0.15"/>
  <cols>
    <col min="1" max="1" width="5.875" customWidth="1"/>
    <col min="2" max="2" width="21" customWidth="1"/>
    <col min="3" max="4" width="17.625" customWidth="1"/>
    <col min="5" max="5" width="27.875" customWidth="1"/>
    <col min="6" max="8" width="10.75" customWidth="1"/>
    <col min="9" max="9" width="14.5" bestFit="1" customWidth="1"/>
    <col min="10" max="10" width="14.25" customWidth="1"/>
    <col min="11" max="15" width="14.125" customWidth="1"/>
    <col min="16" max="17" width="14.5" customWidth="1"/>
    <col min="18" max="18" width="10.75" bestFit="1" customWidth="1"/>
  </cols>
  <sheetData>
    <row r="1" spans="2:20" ht="21" customHeight="1" x14ac:dyDescent="0.15">
      <c r="B1" s="79" t="s">
        <v>25</v>
      </c>
      <c r="C1" s="80"/>
      <c r="D1" s="80"/>
      <c r="E1" s="80"/>
      <c r="F1" s="80"/>
      <c r="G1" s="80"/>
      <c r="H1" s="80"/>
      <c r="I1" s="80"/>
      <c r="J1" s="80"/>
      <c r="K1" s="80"/>
      <c r="L1" s="80"/>
      <c r="M1" s="80"/>
      <c r="N1" s="80"/>
      <c r="O1" s="80"/>
      <c r="P1" s="80"/>
    </row>
    <row r="2" spans="2:20" ht="21" customHeight="1" thickBot="1" x14ac:dyDescent="0.2">
      <c r="B2" s="81"/>
      <c r="C2" s="81"/>
      <c r="D2" s="81"/>
      <c r="E2" s="81"/>
      <c r="F2" s="81"/>
      <c r="G2" s="81"/>
      <c r="H2" s="81"/>
      <c r="I2" s="81"/>
      <c r="J2" s="81"/>
      <c r="K2" s="81"/>
      <c r="L2" s="81"/>
      <c r="M2" s="81"/>
      <c r="N2" s="81"/>
      <c r="O2" s="81"/>
      <c r="P2" s="81"/>
    </row>
    <row r="3" spans="2:20" ht="54" customHeight="1" x14ac:dyDescent="0.15">
      <c r="B3" s="31" t="s">
        <v>36</v>
      </c>
      <c r="C3" s="82">
        <v>2400000</v>
      </c>
      <c r="D3" s="83"/>
      <c r="E3" s="15" t="s">
        <v>28</v>
      </c>
      <c r="F3" s="84" t="s">
        <v>5</v>
      </c>
      <c r="G3" s="85"/>
      <c r="H3" s="86"/>
      <c r="I3" s="93" t="s">
        <v>30</v>
      </c>
      <c r="J3" s="94"/>
      <c r="K3" s="99" t="s">
        <v>31</v>
      </c>
      <c r="L3" s="100"/>
      <c r="M3" s="99" t="s">
        <v>6</v>
      </c>
      <c r="N3" s="105"/>
      <c r="O3" s="106" t="s">
        <v>11</v>
      </c>
      <c r="P3" s="109" t="s">
        <v>12</v>
      </c>
    </row>
    <row r="4" spans="2:20" ht="33.75" customHeight="1" thickBot="1" x14ac:dyDescent="0.2">
      <c r="B4" s="11" t="s">
        <v>7</v>
      </c>
      <c r="C4" s="112">
        <f>ROUNDDOWN(C3/12,0)</f>
        <v>200000</v>
      </c>
      <c r="D4" s="113"/>
      <c r="E4" s="58">
        <v>490000</v>
      </c>
      <c r="F4" s="87"/>
      <c r="G4" s="88"/>
      <c r="H4" s="89"/>
      <c r="I4" s="95"/>
      <c r="J4" s="96"/>
      <c r="K4" s="101"/>
      <c r="L4" s="102"/>
      <c r="M4" s="114" t="s">
        <v>14</v>
      </c>
      <c r="N4" s="117" t="s">
        <v>13</v>
      </c>
      <c r="O4" s="107"/>
      <c r="P4" s="110"/>
    </row>
    <row r="5" spans="2:20" ht="45.6" customHeight="1" thickBot="1" x14ac:dyDescent="0.2">
      <c r="B5" s="28" t="s">
        <v>32</v>
      </c>
      <c r="C5" s="119">
        <v>500000</v>
      </c>
      <c r="D5" s="120"/>
      <c r="E5" s="57">
        <f>MAX(86070,MIN(494700,E4))</f>
        <v>490000</v>
      </c>
      <c r="F5" s="87"/>
      <c r="G5" s="88"/>
      <c r="H5" s="89"/>
      <c r="I5" s="97"/>
      <c r="J5" s="98"/>
      <c r="K5" s="103"/>
      <c r="L5" s="104"/>
      <c r="M5" s="114"/>
      <c r="N5" s="117"/>
      <c r="O5" s="107"/>
      <c r="P5" s="110"/>
    </row>
    <row r="6" spans="2:20" ht="60.75" customHeight="1" thickBot="1" x14ac:dyDescent="0.2">
      <c r="B6" s="35" t="s">
        <v>47</v>
      </c>
      <c r="C6" s="24" t="s">
        <v>8</v>
      </c>
      <c r="D6" s="1" t="s">
        <v>9</v>
      </c>
      <c r="E6" s="27" t="s">
        <v>23</v>
      </c>
      <c r="F6" s="90"/>
      <c r="G6" s="91"/>
      <c r="H6" s="92"/>
      <c r="I6" s="13" t="s">
        <v>0</v>
      </c>
      <c r="J6" s="14" t="s">
        <v>15</v>
      </c>
      <c r="K6" s="16" t="s">
        <v>1</v>
      </c>
      <c r="L6" s="1" t="s">
        <v>10</v>
      </c>
      <c r="M6" s="115"/>
      <c r="N6" s="118"/>
      <c r="O6" s="108"/>
      <c r="P6" s="111"/>
    </row>
    <row r="7" spans="2:20" s="2" customFormat="1" ht="18" customHeight="1" thickBot="1" x14ac:dyDescent="0.2">
      <c r="B7" s="55">
        <f>IF(K22&lt;=376750,K22,0)</f>
        <v>320000</v>
      </c>
      <c r="C7" s="121">
        <f>MAX(($C$4+B9-$C$5)*1/2,0)</f>
        <v>77000</v>
      </c>
      <c r="D7" s="124">
        <f t="shared" ref="D7" si="0">$C$4-C7</f>
        <v>123000</v>
      </c>
      <c r="E7" s="127">
        <f>$B$7/$E$5*100</f>
        <v>65.306122448979593</v>
      </c>
      <c r="F7" s="130" t="s">
        <v>19</v>
      </c>
      <c r="G7" s="131"/>
      <c r="H7" s="4" t="str">
        <f>IF($E$7&lt;75,"　",IF($E$7&gt;=75,"〇"))</f>
        <v>　</v>
      </c>
      <c r="I7" s="61" t="b">
        <f>IF($H$7="〇",R7)</f>
        <v>0</v>
      </c>
      <c r="J7" s="5">
        <f>IF(L22&gt;2295,L22,0)</f>
        <v>0</v>
      </c>
      <c r="K7" s="61" t="b">
        <f>IF($H$7="〇",T7)</f>
        <v>0</v>
      </c>
      <c r="L7" s="5">
        <f>ROUNDDOWN($H$22*K7,0)</f>
        <v>0</v>
      </c>
      <c r="M7" s="66">
        <f>IF(M22&gt;376750,376750,M22)</f>
        <v>320000</v>
      </c>
      <c r="N7" s="6">
        <f>M7/$E$4</f>
        <v>0.65306122448979587</v>
      </c>
      <c r="O7" s="17">
        <f>$D$7-L7</f>
        <v>123000</v>
      </c>
      <c r="P7" s="18">
        <f>M7+O7</f>
        <v>443000</v>
      </c>
      <c r="R7" s="25">
        <f>0/100</f>
        <v>0</v>
      </c>
      <c r="T7" s="25">
        <f>0/100</f>
        <v>0</v>
      </c>
    </row>
    <row r="8" spans="2:20" s="2" customFormat="1" ht="18" customHeight="1" x14ac:dyDescent="0.15">
      <c r="B8" s="32" t="s">
        <v>24</v>
      </c>
      <c r="C8" s="122"/>
      <c r="D8" s="125"/>
      <c r="E8" s="128"/>
      <c r="F8" s="132" t="s">
        <v>20</v>
      </c>
      <c r="G8" s="133"/>
      <c r="H8" s="7" t="str">
        <f>IF(AND($E$7&gt;61,$E$7&lt;75),"〇","　")</f>
        <v>〇</v>
      </c>
      <c r="I8" s="62">
        <f>IF($H$8="〇",R8)</f>
        <v>9.6999999999999989E-2</v>
      </c>
      <c r="J8" s="3">
        <f t="shared" ref="J8:J9" si="1">IF(L23&gt;2295,L23,0)</f>
        <v>31040</v>
      </c>
      <c r="K8" s="62">
        <f>IF($H$8="〇",T8)</f>
        <v>3.8800000000000001E-2</v>
      </c>
      <c r="L8" s="3">
        <f t="shared" ref="L8:L9" si="2">ROUNDDOWN($H$22*K8,0)</f>
        <v>12416</v>
      </c>
      <c r="M8" s="67">
        <f t="shared" ref="M8:M9" si="3">IF(M23&gt;376750,376750,M23)</f>
        <v>351040</v>
      </c>
      <c r="N8" s="8">
        <f t="shared" ref="N8:N9" si="4">M8/$E$4</f>
        <v>0.7164081632653061</v>
      </c>
      <c r="O8" s="19">
        <f t="shared" ref="O8:O9" si="5">$D$7-L8</f>
        <v>110584</v>
      </c>
      <c r="P8" s="20">
        <f>M8+O8</f>
        <v>461624</v>
      </c>
      <c r="R8" s="26">
        <f>ROUND(((-183*$E$7)+13725)/280*100/$E$7,2)/100</f>
        <v>9.6999999999999989E-2</v>
      </c>
      <c r="T8" s="26">
        <f>ROUND(((-183*$E$7)+13725)/280*100/$E$7*6/15,2)/100</f>
        <v>3.8800000000000001E-2</v>
      </c>
    </row>
    <row r="9" spans="2:20" s="2" customFormat="1" ht="18" customHeight="1" thickBot="1" x14ac:dyDescent="0.2">
      <c r="B9" s="55">
        <f>I29</f>
        <v>454000</v>
      </c>
      <c r="C9" s="123"/>
      <c r="D9" s="126"/>
      <c r="E9" s="129"/>
      <c r="F9" s="134" t="s">
        <v>21</v>
      </c>
      <c r="G9" s="135"/>
      <c r="H9" s="9" t="str">
        <f>IF($E$7&lt;=61,"〇",IF($E$7&gt;61,"　"))</f>
        <v>　</v>
      </c>
      <c r="I9" s="63" t="b">
        <f>IF($H$9="〇",R9)</f>
        <v>0</v>
      </c>
      <c r="J9" s="23">
        <f t="shared" si="1"/>
        <v>0</v>
      </c>
      <c r="K9" s="63" t="b">
        <f>IF($H$9="〇",T9)</f>
        <v>0</v>
      </c>
      <c r="L9" s="59">
        <f t="shared" si="2"/>
        <v>0</v>
      </c>
      <c r="M9" s="65">
        <f t="shared" si="3"/>
        <v>320000</v>
      </c>
      <c r="N9" s="10">
        <f t="shared" si="4"/>
        <v>0.65306122448979587</v>
      </c>
      <c r="O9" s="21">
        <f t="shared" si="5"/>
        <v>123000</v>
      </c>
      <c r="P9" s="22">
        <f>M9+O9</f>
        <v>443000</v>
      </c>
      <c r="R9" s="25">
        <f>15/100</f>
        <v>0.15</v>
      </c>
      <c r="T9" s="25">
        <f>6/100</f>
        <v>0.06</v>
      </c>
    </row>
    <row r="10" spans="2:20" ht="30" customHeight="1" x14ac:dyDescent="0.15">
      <c r="B10" s="12" t="s">
        <v>2</v>
      </c>
      <c r="C10" s="136" t="s">
        <v>29</v>
      </c>
      <c r="D10" s="136"/>
      <c r="E10" s="136"/>
      <c r="F10" s="136"/>
      <c r="G10" s="136"/>
      <c r="H10" s="136"/>
      <c r="I10" s="136"/>
      <c r="J10" s="136"/>
      <c r="K10" s="136"/>
      <c r="L10" s="136"/>
      <c r="M10" s="136"/>
      <c r="N10" s="136"/>
      <c r="O10" s="136"/>
      <c r="P10" s="136"/>
    </row>
    <row r="11" spans="2:20" ht="30" customHeight="1" x14ac:dyDescent="0.15">
      <c r="B11" s="12" t="s">
        <v>4</v>
      </c>
      <c r="C11" s="137" t="s">
        <v>53</v>
      </c>
      <c r="D11" s="74"/>
      <c r="E11" s="74"/>
      <c r="F11" s="74"/>
      <c r="G11" s="74"/>
      <c r="H11" s="74"/>
      <c r="I11" s="74"/>
      <c r="J11" s="74"/>
      <c r="K11" s="74"/>
      <c r="L11" s="74"/>
      <c r="M11" s="74"/>
      <c r="N11" s="74"/>
      <c r="O11" s="74"/>
      <c r="P11" s="74"/>
    </row>
    <row r="12" spans="2:20" ht="30" customHeight="1" x14ac:dyDescent="0.15">
      <c r="B12" s="12" t="s">
        <v>3</v>
      </c>
      <c r="C12" s="137" t="s">
        <v>22</v>
      </c>
      <c r="D12" s="137"/>
      <c r="E12" s="137"/>
      <c r="F12" s="137"/>
      <c r="G12" s="137"/>
      <c r="H12" s="137"/>
      <c r="I12" s="137"/>
      <c r="J12" s="137"/>
      <c r="K12" s="137"/>
      <c r="L12" s="137"/>
      <c r="M12" s="137"/>
      <c r="N12" s="137"/>
      <c r="O12" s="137"/>
      <c r="P12" s="137"/>
    </row>
    <row r="13" spans="2:20" ht="30" customHeight="1" x14ac:dyDescent="0.15">
      <c r="B13" s="12" t="s">
        <v>16</v>
      </c>
      <c r="C13" s="137" t="s">
        <v>54</v>
      </c>
      <c r="D13" s="137"/>
      <c r="E13" s="137"/>
      <c r="F13" s="137"/>
      <c r="G13" s="137"/>
      <c r="H13" s="137"/>
      <c r="I13" s="137"/>
      <c r="J13" s="137"/>
      <c r="K13" s="137"/>
      <c r="L13" s="137"/>
      <c r="M13" s="137"/>
      <c r="N13" s="137"/>
      <c r="O13" s="137"/>
      <c r="P13" s="137"/>
    </row>
    <row r="14" spans="2:20" ht="30" customHeight="1" x14ac:dyDescent="0.15">
      <c r="B14" s="12" t="s">
        <v>17</v>
      </c>
      <c r="C14" s="137" t="s">
        <v>55</v>
      </c>
      <c r="D14" s="137"/>
      <c r="E14" s="137"/>
      <c r="F14" s="137"/>
      <c r="G14" s="137"/>
      <c r="H14" s="137"/>
      <c r="I14" s="137"/>
      <c r="J14" s="137"/>
      <c r="K14" s="137"/>
      <c r="L14" s="137"/>
      <c r="M14" s="137"/>
      <c r="N14" s="137"/>
      <c r="O14" s="137"/>
      <c r="P14" s="137"/>
    </row>
    <row r="15" spans="2:20" ht="30" customHeight="1" x14ac:dyDescent="0.15">
      <c r="B15" s="12" t="s">
        <v>18</v>
      </c>
      <c r="C15" s="116" t="s">
        <v>56</v>
      </c>
      <c r="D15" s="116"/>
      <c r="E15" s="116"/>
      <c r="F15" s="116"/>
      <c r="G15" s="116"/>
      <c r="H15" s="116"/>
      <c r="I15" s="116"/>
      <c r="J15" s="116"/>
      <c r="K15" s="116"/>
      <c r="L15" s="116"/>
      <c r="M15" s="116"/>
      <c r="N15" s="116"/>
      <c r="O15" s="116"/>
      <c r="P15" s="116"/>
    </row>
    <row r="16" spans="2:20" ht="30" customHeight="1" x14ac:dyDescent="0.15">
      <c r="B16" s="138" t="s">
        <v>26</v>
      </c>
      <c r="C16" s="139" t="s">
        <v>57</v>
      </c>
      <c r="D16" s="139"/>
      <c r="E16" s="139"/>
      <c r="F16" s="139"/>
      <c r="G16" s="139"/>
      <c r="H16" s="139"/>
      <c r="I16" s="139"/>
      <c r="J16" s="139"/>
      <c r="K16" s="139"/>
      <c r="L16" s="139"/>
      <c r="M16" s="139"/>
      <c r="N16" s="139"/>
      <c r="O16" s="139"/>
      <c r="P16" s="139"/>
    </row>
    <row r="17" spans="2:18" ht="30" customHeight="1" x14ac:dyDescent="0.15">
      <c r="B17" s="138"/>
      <c r="C17" s="139"/>
      <c r="D17" s="139"/>
      <c r="E17" s="139"/>
      <c r="F17" s="139"/>
      <c r="G17" s="139"/>
      <c r="H17" s="139"/>
      <c r="I17" s="139"/>
      <c r="J17" s="139"/>
      <c r="K17" s="139"/>
      <c r="L17" s="139"/>
      <c r="M17" s="139"/>
      <c r="N17" s="139"/>
      <c r="O17" s="139"/>
      <c r="P17" s="139"/>
    </row>
    <row r="18" spans="2:18" ht="13.15" customHeight="1" x14ac:dyDescent="0.15">
      <c r="B18" s="138" t="s">
        <v>27</v>
      </c>
      <c r="C18" s="139" t="s">
        <v>63</v>
      </c>
      <c r="D18" s="139"/>
      <c r="E18" s="139"/>
      <c r="F18" s="139"/>
      <c r="G18" s="139"/>
      <c r="H18" s="139"/>
      <c r="I18" s="139"/>
      <c r="J18" s="139"/>
      <c r="K18" s="139"/>
      <c r="L18" s="139"/>
      <c r="M18" s="139"/>
      <c r="N18" s="139"/>
      <c r="O18" s="139"/>
      <c r="P18" s="139"/>
    </row>
    <row r="19" spans="2:18" x14ac:dyDescent="0.15">
      <c r="B19" s="138"/>
      <c r="C19" s="139"/>
      <c r="D19" s="139"/>
      <c r="E19" s="139"/>
      <c r="F19" s="139"/>
      <c r="G19" s="139"/>
      <c r="H19" s="139"/>
      <c r="I19" s="139"/>
      <c r="J19" s="139"/>
      <c r="K19" s="139"/>
      <c r="L19" s="139"/>
      <c r="M19" s="139"/>
      <c r="N19" s="139"/>
      <c r="O19" s="139"/>
      <c r="P19" s="139"/>
    </row>
    <row r="20" spans="2:18" ht="14.25" thickBot="1" x14ac:dyDescent="0.2">
      <c r="B20" s="138"/>
      <c r="C20" s="139"/>
      <c r="D20" s="139"/>
      <c r="E20" s="139"/>
      <c r="F20" s="139"/>
      <c r="G20" s="139"/>
      <c r="H20" s="139"/>
      <c r="I20" s="139"/>
      <c r="J20" s="139"/>
      <c r="K20" s="139"/>
      <c r="L20" s="139"/>
      <c r="M20" s="139"/>
      <c r="N20" s="139"/>
      <c r="O20" s="139"/>
      <c r="P20" s="139"/>
    </row>
    <row r="21" spans="2:18" ht="50.25" customHeight="1" thickBot="1" x14ac:dyDescent="0.2">
      <c r="B21" s="12"/>
      <c r="C21" s="29"/>
      <c r="D21" s="29"/>
      <c r="E21" s="140" t="s">
        <v>48</v>
      </c>
      <c r="F21" s="141"/>
      <c r="G21" s="69" t="s">
        <v>59</v>
      </c>
      <c r="H21" s="45" t="s">
        <v>41</v>
      </c>
      <c r="I21" s="45" t="s">
        <v>58</v>
      </c>
      <c r="J21" s="1" t="s">
        <v>42</v>
      </c>
      <c r="K21" s="68" t="s">
        <v>49</v>
      </c>
      <c r="L21" s="68" t="s">
        <v>50</v>
      </c>
      <c r="M21" s="68" t="s">
        <v>51</v>
      </c>
      <c r="N21" s="29"/>
      <c r="O21" s="29"/>
      <c r="P21" s="29"/>
    </row>
    <row r="22" spans="2:18" x14ac:dyDescent="0.15">
      <c r="B22" s="12"/>
      <c r="C22" s="34"/>
      <c r="D22" s="34"/>
      <c r="E22" s="54" t="s">
        <v>45</v>
      </c>
      <c r="F22" s="43" t="s">
        <v>38</v>
      </c>
      <c r="G22" s="52">
        <v>3</v>
      </c>
      <c r="H22" s="142">
        <v>320000</v>
      </c>
      <c r="I22" s="143"/>
      <c r="J22" s="44"/>
      <c r="K22" s="64">
        <v>320000</v>
      </c>
      <c r="L22" s="34">
        <f>ROUNDDOWN($B$7*I7,0)</f>
        <v>0</v>
      </c>
      <c r="M22" s="60">
        <f>$B$7+J7</f>
        <v>320000</v>
      </c>
      <c r="N22" s="34"/>
      <c r="O22" s="34"/>
      <c r="P22" s="34"/>
      <c r="Q22" s="34">
        <v>1</v>
      </c>
      <c r="R22" s="33">
        <v>88000</v>
      </c>
    </row>
    <row r="23" spans="2:18" x14ac:dyDescent="0.15">
      <c r="E23" s="30" t="s">
        <v>37</v>
      </c>
      <c r="F23" s="144" t="s">
        <v>44</v>
      </c>
      <c r="G23" s="40"/>
      <c r="H23" s="41">
        <v>755555</v>
      </c>
      <c r="I23" s="42">
        <f>MIN((ROUNDDOWN(H23,-3)),$J$23)</f>
        <v>755000</v>
      </c>
      <c r="J23" s="146">
        <v>1500000</v>
      </c>
      <c r="L23" s="33">
        <f t="shared" ref="L23:L24" si="6">ROUNDDOWN($B$7*I8,0)</f>
        <v>31040</v>
      </c>
      <c r="M23" s="60">
        <f t="shared" ref="M23:M24" si="7">$B$7+J8</f>
        <v>351040</v>
      </c>
      <c r="Q23" s="34">
        <f t="shared" ref="Q23:Q53" si="8">Q22+1</f>
        <v>2</v>
      </c>
      <c r="R23" s="33">
        <f>R22+10000</f>
        <v>98000</v>
      </c>
    </row>
    <row r="24" spans="2:18" x14ac:dyDescent="0.15">
      <c r="E24" s="30" t="s">
        <v>37</v>
      </c>
      <c r="F24" s="144"/>
      <c r="G24" s="40"/>
      <c r="H24" s="41">
        <v>855555</v>
      </c>
      <c r="I24" s="42">
        <f t="shared" ref="I24:I28" si="9">MIN((ROUNDDOWN(H24,-3)),$J$23)</f>
        <v>855000</v>
      </c>
      <c r="J24" s="146"/>
      <c r="L24" s="33">
        <f t="shared" si="6"/>
        <v>0</v>
      </c>
      <c r="M24" s="60">
        <f t="shared" si="7"/>
        <v>320000</v>
      </c>
      <c r="Q24" s="34">
        <f t="shared" si="8"/>
        <v>3</v>
      </c>
      <c r="R24" s="33">
        <f>R23+6000</f>
        <v>104000</v>
      </c>
    </row>
    <row r="25" spans="2:18" x14ac:dyDescent="0.15">
      <c r="E25" s="30" t="s">
        <v>37</v>
      </c>
      <c r="F25" s="144"/>
      <c r="G25" s="40"/>
      <c r="H25" s="41">
        <v>0</v>
      </c>
      <c r="I25" s="42">
        <f t="shared" si="9"/>
        <v>0</v>
      </c>
      <c r="J25" s="146"/>
      <c r="Q25" s="34">
        <f t="shared" si="8"/>
        <v>4</v>
      </c>
      <c r="R25" s="33">
        <f>R24+6000</f>
        <v>110000</v>
      </c>
    </row>
    <row r="26" spans="2:18" x14ac:dyDescent="0.15">
      <c r="E26" s="30" t="s">
        <v>37</v>
      </c>
      <c r="F26" s="144"/>
      <c r="G26" s="51"/>
      <c r="H26" s="41">
        <v>0</v>
      </c>
      <c r="I26" s="42">
        <f t="shared" si="9"/>
        <v>0</v>
      </c>
      <c r="J26" s="146"/>
      <c r="Q26" s="34">
        <f t="shared" si="8"/>
        <v>5</v>
      </c>
      <c r="R26" s="33">
        <f>R25+8000</f>
        <v>118000</v>
      </c>
    </row>
    <row r="27" spans="2:18" x14ac:dyDescent="0.15">
      <c r="E27" s="30" t="s">
        <v>37</v>
      </c>
      <c r="F27" s="144"/>
      <c r="G27" s="51"/>
      <c r="H27" s="41">
        <v>0</v>
      </c>
      <c r="I27" s="42">
        <f t="shared" si="9"/>
        <v>0</v>
      </c>
      <c r="J27" s="146"/>
      <c r="Q27" s="34">
        <f t="shared" si="8"/>
        <v>6</v>
      </c>
      <c r="R27" s="33">
        <f t="shared" ref="R27:R30" si="10">R26+8000</f>
        <v>126000</v>
      </c>
    </row>
    <row r="28" spans="2:18" ht="14.25" thickBot="1" x14ac:dyDescent="0.2">
      <c r="E28" s="46" t="s">
        <v>37</v>
      </c>
      <c r="F28" s="145"/>
      <c r="G28" s="53"/>
      <c r="H28" s="47">
        <v>0</v>
      </c>
      <c r="I28" s="48">
        <f t="shared" si="9"/>
        <v>0</v>
      </c>
      <c r="J28" s="147"/>
      <c r="Q28" s="34">
        <f t="shared" si="8"/>
        <v>7</v>
      </c>
      <c r="R28" s="33">
        <f t="shared" si="10"/>
        <v>134000</v>
      </c>
    </row>
    <row r="29" spans="2:18" ht="15" thickBot="1" x14ac:dyDescent="0.2">
      <c r="E29" s="148" t="s">
        <v>39</v>
      </c>
      <c r="F29" s="149"/>
      <c r="G29" s="149"/>
      <c r="H29" s="149"/>
      <c r="I29" s="49">
        <f>(ROUNDDOWN(SUM(I23:I28)/12,-3))+H22</f>
        <v>454000</v>
      </c>
      <c r="J29" s="50" t="s">
        <v>46</v>
      </c>
      <c r="Q29" s="34">
        <f t="shared" si="8"/>
        <v>8</v>
      </c>
      <c r="R29" s="33">
        <f t="shared" si="10"/>
        <v>142000</v>
      </c>
    </row>
    <row r="30" spans="2:18" ht="13.5" customHeight="1" x14ac:dyDescent="0.15">
      <c r="G30" s="136" t="s">
        <v>40</v>
      </c>
      <c r="H30" s="136"/>
      <c r="I30" s="136"/>
      <c r="J30" s="137" t="s">
        <v>60</v>
      </c>
      <c r="K30" s="137"/>
      <c r="L30" s="74" t="s">
        <v>52</v>
      </c>
      <c r="M30" s="74"/>
      <c r="Q30" s="34">
        <f t="shared" si="8"/>
        <v>9</v>
      </c>
      <c r="R30" s="33">
        <f t="shared" si="10"/>
        <v>150000</v>
      </c>
    </row>
    <row r="31" spans="2:18" x14ac:dyDescent="0.15">
      <c r="F31" s="34"/>
      <c r="G31" s="137"/>
      <c r="H31" s="137"/>
      <c r="I31" s="137"/>
      <c r="J31" s="137"/>
      <c r="K31" s="137"/>
      <c r="L31" s="74"/>
      <c r="M31" s="74"/>
      <c r="Q31" s="34">
        <f t="shared" si="8"/>
        <v>10</v>
      </c>
      <c r="R31" s="33">
        <f>R30+10000</f>
        <v>160000</v>
      </c>
    </row>
    <row r="32" spans="2:18" x14ac:dyDescent="0.15">
      <c r="F32" s="34"/>
      <c r="G32" s="137"/>
      <c r="H32" s="137"/>
      <c r="I32" s="137"/>
      <c r="J32" s="137"/>
      <c r="K32" s="137"/>
      <c r="L32" s="74"/>
      <c r="M32" s="74"/>
      <c r="Q32" s="34">
        <f t="shared" si="8"/>
        <v>11</v>
      </c>
      <c r="R32" s="33">
        <f t="shared" ref="R32:R35" si="11">R31+10000</f>
        <v>170000</v>
      </c>
    </row>
    <row r="33" spans="6:18" x14ac:dyDescent="0.15">
      <c r="F33" s="34"/>
      <c r="G33" s="137"/>
      <c r="H33" s="137"/>
      <c r="I33" s="137"/>
      <c r="J33" s="137"/>
      <c r="K33" s="137"/>
      <c r="L33" s="74"/>
      <c r="M33" s="74"/>
      <c r="Q33" s="34">
        <f t="shared" si="8"/>
        <v>12</v>
      </c>
      <c r="R33" s="33">
        <f t="shared" si="11"/>
        <v>180000</v>
      </c>
    </row>
    <row r="34" spans="6:18" x14ac:dyDescent="0.15">
      <c r="F34" s="39"/>
      <c r="G34" s="137"/>
      <c r="H34" s="137"/>
      <c r="I34" s="137"/>
      <c r="J34" s="137"/>
      <c r="K34" s="137"/>
      <c r="L34" s="74"/>
      <c r="M34" s="74"/>
      <c r="Q34" s="34">
        <f t="shared" si="8"/>
        <v>13</v>
      </c>
      <c r="R34" s="33">
        <f t="shared" si="11"/>
        <v>190000</v>
      </c>
    </row>
    <row r="35" spans="6:18" x14ac:dyDescent="0.15">
      <c r="F35" s="36"/>
      <c r="G35" s="39"/>
      <c r="I35" s="38"/>
      <c r="Q35" s="34">
        <f t="shared" si="8"/>
        <v>14</v>
      </c>
      <c r="R35" s="33">
        <f t="shared" si="11"/>
        <v>200000</v>
      </c>
    </row>
    <row r="36" spans="6:18" x14ac:dyDescent="0.15">
      <c r="F36" s="36"/>
      <c r="G36" s="39"/>
      <c r="H36" s="37"/>
      <c r="I36" s="38"/>
      <c r="Q36" s="34">
        <f t="shared" si="8"/>
        <v>15</v>
      </c>
      <c r="R36" s="33">
        <f>R35+20000</f>
        <v>220000</v>
      </c>
    </row>
    <row r="37" spans="6:18" x14ac:dyDescent="0.15">
      <c r="H37" s="37"/>
      <c r="I37" s="38"/>
      <c r="Q37" s="34">
        <f t="shared" si="8"/>
        <v>16</v>
      </c>
      <c r="R37" s="33">
        <f t="shared" ref="R37:R44" si="12">R36+20000</f>
        <v>240000</v>
      </c>
    </row>
    <row r="38" spans="6:18" x14ac:dyDescent="0.15">
      <c r="H38" s="37"/>
      <c r="I38" s="38"/>
      <c r="Q38" s="34">
        <f t="shared" si="8"/>
        <v>17</v>
      </c>
      <c r="R38" s="33">
        <f t="shared" si="12"/>
        <v>260000</v>
      </c>
    </row>
    <row r="39" spans="6:18" x14ac:dyDescent="0.15">
      <c r="H39" s="37"/>
      <c r="I39" s="38"/>
      <c r="Q39" s="34">
        <f t="shared" si="8"/>
        <v>18</v>
      </c>
      <c r="R39" s="33">
        <f t="shared" si="12"/>
        <v>280000</v>
      </c>
    </row>
    <row r="40" spans="6:18" x14ac:dyDescent="0.15">
      <c r="H40" s="56"/>
      <c r="I40" s="38"/>
      <c r="Q40" s="34">
        <f t="shared" si="8"/>
        <v>19</v>
      </c>
      <c r="R40" s="33">
        <f t="shared" si="12"/>
        <v>300000</v>
      </c>
    </row>
    <row r="41" spans="6:18" x14ac:dyDescent="0.15">
      <c r="I41" s="38"/>
      <c r="Q41" s="34">
        <f t="shared" si="8"/>
        <v>20</v>
      </c>
      <c r="R41" s="33">
        <f t="shared" si="12"/>
        <v>320000</v>
      </c>
    </row>
    <row r="42" spans="6:18" x14ac:dyDescent="0.15">
      <c r="Q42" s="34">
        <f t="shared" si="8"/>
        <v>21</v>
      </c>
      <c r="R42" s="33">
        <f t="shared" si="12"/>
        <v>340000</v>
      </c>
    </row>
    <row r="43" spans="6:18" x14ac:dyDescent="0.15">
      <c r="Q43" s="34">
        <f t="shared" si="8"/>
        <v>22</v>
      </c>
      <c r="R43" s="33">
        <f t="shared" si="12"/>
        <v>360000</v>
      </c>
    </row>
    <row r="44" spans="6:18" x14ac:dyDescent="0.15">
      <c r="Q44" s="34">
        <f t="shared" si="8"/>
        <v>23</v>
      </c>
      <c r="R44" s="33">
        <f t="shared" si="12"/>
        <v>380000</v>
      </c>
    </row>
    <row r="45" spans="6:18" x14ac:dyDescent="0.15">
      <c r="Q45" s="34">
        <f t="shared" si="8"/>
        <v>24</v>
      </c>
      <c r="R45" s="33">
        <f>R44+30000</f>
        <v>410000</v>
      </c>
    </row>
    <row r="46" spans="6:18" x14ac:dyDescent="0.15">
      <c r="Q46" s="34">
        <f t="shared" si="8"/>
        <v>25</v>
      </c>
      <c r="R46" s="33">
        <f t="shared" ref="R46:R53" si="13">R45+30000</f>
        <v>440000</v>
      </c>
    </row>
    <row r="47" spans="6:18" x14ac:dyDescent="0.15">
      <c r="Q47" s="34">
        <f t="shared" si="8"/>
        <v>26</v>
      </c>
      <c r="R47" s="33">
        <f t="shared" si="13"/>
        <v>470000</v>
      </c>
    </row>
    <row r="48" spans="6:18" x14ac:dyDescent="0.15">
      <c r="Q48" s="34">
        <f t="shared" si="8"/>
        <v>27</v>
      </c>
      <c r="R48" s="33">
        <f t="shared" si="13"/>
        <v>500000</v>
      </c>
    </row>
    <row r="49" spans="17:18" x14ac:dyDescent="0.15">
      <c r="Q49" s="34">
        <f t="shared" si="8"/>
        <v>28</v>
      </c>
      <c r="R49" s="33">
        <f t="shared" si="13"/>
        <v>530000</v>
      </c>
    </row>
    <row r="50" spans="17:18" x14ac:dyDescent="0.15">
      <c r="Q50" s="34">
        <f t="shared" si="8"/>
        <v>29</v>
      </c>
      <c r="R50" s="33">
        <f t="shared" si="13"/>
        <v>560000</v>
      </c>
    </row>
    <row r="51" spans="17:18" x14ac:dyDescent="0.15">
      <c r="Q51" s="34">
        <f t="shared" si="8"/>
        <v>30</v>
      </c>
      <c r="R51" s="33">
        <f t="shared" si="13"/>
        <v>590000</v>
      </c>
    </row>
    <row r="52" spans="17:18" x14ac:dyDescent="0.15">
      <c r="Q52" s="34">
        <f t="shared" si="8"/>
        <v>31</v>
      </c>
      <c r="R52" s="33">
        <f t="shared" si="13"/>
        <v>620000</v>
      </c>
    </row>
    <row r="53" spans="17:18" x14ac:dyDescent="0.15">
      <c r="Q53" s="34">
        <f t="shared" si="8"/>
        <v>32</v>
      </c>
      <c r="R53" s="33">
        <f t="shared" si="13"/>
        <v>650000</v>
      </c>
    </row>
    <row r="54" spans="17:18" x14ac:dyDescent="0.15">
      <c r="Q54" s="34"/>
    </row>
  </sheetData>
  <mergeCells count="36">
    <mergeCell ref="G30:I34"/>
    <mergeCell ref="L30:M34"/>
    <mergeCell ref="E21:F21"/>
    <mergeCell ref="B16:B17"/>
    <mergeCell ref="C16:P17"/>
    <mergeCell ref="H22:I22"/>
    <mergeCell ref="J23:J28"/>
    <mergeCell ref="F23:F28"/>
    <mergeCell ref="E29:H29"/>
    <mergeCell ref="J30:K34"/>
    <mergeCell ref="C18:P20"/>
    <mergeCell ref="B18:B20"/>
    <mergeCell ref="C15:P15"/>
    <mergeCell ref="M4:M6"/>
    <mergeCell ref="N4:N6"/>
    <mergeCell ref="C5:D5"/>
    <mergeCell ref="C7:C9"/>
    <mergeCell ref="D7:D9"/>
    <mergeCell ref="E7:E9"/>
    <mergeCell ref="F7:G7"/>
    <mergeCell ref="F8:G8"/>
    <mergeCell ref="F9:G9"/>
    <mergeCell ref="C10:P10"/>
    <mergeCell ref="C11:P11"/>
    <mergeCell ref="C12:P12"/>
    <mergeCell ref="C13:P13"/>
    <mergeCell ref="C14:P14"/>
    <mergeCell ref="B1:P2"/>
    <mergeCell ref="C3:D3"/>
    <mergeCell ref="F3:H6"/>
    <mergeCell ref="I3:J5"/>
    <mergeCell ref="K3:L5"/>
    <mergeCell ref="M3:N3"/>
    <mergeCell ref="O3:O6"/>
    <mergeCell ref="P3:P6"/>
    <mergeCell ref="C4:D4"/>
  </mergeCells>
  <phoneticPr fontId="2"/>
  <dataValidations count="2">
    <dataValidation type="list" allowBlank="1" showInputMessage="1" showErrorMessage="1" sqref="H22" xr:uid="{E982BA88-F0D5-4FF0-93BD-A2E06A149E6B}">
      <formula1>$R$22:$R$53</formula1>
    </dataValidation>
    <dataValidation type="list" allowBlank="1" showInputMessage="1" showErrorMessage="1" sqref="G22" xr:uid="{08BC1AA0-4493-497F-A924-2FB5A1952F2E}">
      <formula1>$Q$22:$Q$33</formula1>
    </dataValidation>
  </dataValidations>
  <pageMargins left="0.25" right="0.25" top="0.75" bottom="0.75" header="0.3" footer="0.3"/>
  <pageSetup paperSize="9" scale="51" orientation="landscape" horizontalDpi="4294967293" verticalDpi="0"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高年齢雇用継続給付等算出シュミレーション表(H7.4.1施行)</vt:lpstr>
      <vt:lpstr>高年齢雇用継続給付等算出シュミレーション表(従前)</vt:lpstr>
      <vt:lpstr>'高年齢雇用継続給付等算出シュミレーション表(H7.4.1施行)'!Print_Area</vt:lpstr>
      <vt:lpstr>'高年齢雇用継続給付等算出シュミレーション表(従前)'!Print_Area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ishichan</dc:creator>
  <cp:lastModifiedBy>利人 石川</cp:lastModifiedBy>
  <cp:lastPrinted>2025-03-30T00:46:53Z</cp:lastPrinted>
  <dcterms:created xsi:type="dcterms:W3CDTF">2019-12-14T05:16:57Z</dcterms:created>
  <dcterms:modified xsi:type="dcterms:W3CDTF">2025-03-30T00:54:04Z</dcterms:modified>
</cp:coreProperties>
</file>